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filterPrivacy="1" defaultThemeVersion="124226"/>
  <xr:revisionPtr revIDLastSave="0" documentId="8_{0063A240-04E4-4A30-9CFB-D87810A7A443}" xr6:coauthVersionLast="45" xr6:coauthVersionMax="45" xr10:uidLastSave="{00000000-0000-0000-0000-000000000000}"/>
  <bookViews>
    <workbookView xWindow="-108" yWindow="-108" windowWidth="23256" windowHeight="12576" tabRatio="828" xr2:uid="{00000000-000D-0000-FFFF-FFFF00000000}"/>
  </bookViews>
  <sheets>
    <sheet name="PLANILHA ORÇAMENTARIA" sheetId="22" r:id="rId1"/>
    <sheet name="Cronograma" sheetId="57" r:id="rId2"/>
    <sheet name="Administração" sheetId="60" r:id="rId3"/>
    <sheet name="Coleta Rural " sheetId="59" r:id="rId4"/>
    <sheet name="1 Coleta Domiciliar" sheetId="2" r:id="rId5"/>
    <sheet name="2 varrição manual " sheetId="25" r:id="rId6"/>
    <sheet name="9 Conteiner" sheetId="51" r:id="rId7"/>
    <sheet name="Encargos" sheetId="37" r:id="rId8"/>
    <sheet name="BDI" sheetId="43" r:id="rId9"/>
    <sheet name="BANCO DE DADOS" sheetId="42" r:id="rId10"/>
    <sheet name="MÃO DE OBRA" sheetId="48" r:id="rId11"/>
    <sheet name="VEÍCULOS EQUIPAMENTOS" sheetId="55" r:id="rId12"/>
    <sheet name="FERRAMENTAS" sheetId="56" r:id="rId13"/>
    <sheet name="UNIFORMES E EPIS" sheetId="47" r:id="rId14"/>
    <sheet name="DPVAT" sheetId="49" r:id="rId15"/>
    <sheet name="EPI" sheetId="54" r:id="rId16"/>
  </sheets>
  <externalReferences>
    <externalReference r:id="rId17"/>
    <externalReference r:id="rId18"/>
    <externalReference r:id="rId19"/>
  </externalReferences>
  <definedNames>
    <definedName name="_Table1_In1" localSheetId="5" hidden="1">#REF!</definedName>
    <definedName name="_Table1_In1" localSheetId="6" hidden="1">#REF!</definedName>
    <definedName name="_Table1_In1" localSheetId="14" hidden="1">#REF!</definedName>
    <definedName name="_Table1_In1" hidden="1">#REF!</definedName>
    <definedName name="_Table1_Out" localSheetId="5" hidden="1">#REF!</definedName>
    <definedName name="_Table1_Out" localSheetId="6" hidden="1">#REF!</definedName>
    <definedName name="_Table1_Out" localSheetId="14" hidden="1">#REF!</definedName>
    <definedName name="_Table1_Out" hidden="1">#REF!</definedName>
    <definedName name="_Table2_In1" localSheetId="5" hidden="1">#REF!</definedName>
    <definedName name="_Table2_In1" localSheetId="6" hidden="1">#REF!</definedName>
    <definedName name="_Table2_In1" localSheetId="14" hidden="1">#REF!</definedName>
    <definedName name="_Table2_In1" hidden="1">#REF!</definedName>
    <definedName name="_Table2_Out" localSheetId="5" hidden="1">#REF!</definedName>
    <definedName name="_Table2_Out" localSheetId="6" hidden="1">#REF!</definedName>
    <definedName name="_Table2_Out" localSheetId="14" hidden="1">#REF!</definedName>
    <definedName name="_Table2_Out" hidden="1">#REF!</definedName>
    <definedName name="A" localSheetId="5">#REF!</definedName>
    <definedName name="A" localSheetId="6">#REF!</definedName>
    <definedName name="A" localSheetId="14">#REF!</definedName>
    <definedName name="A">#REF!</definedName>
    <definedName name="Acréscimo_de_hora_extra" localSheetId="5">#REF!</definedName>
    <definedName name="Acréscimo_de_hora_extra" localSheetId="6">#REF!</definedName>
    <definedName name="Acréscimo_de_hora_extra" localSheetId="14">#REF!</definedName>
    <definedName name="Acréscimo_de_hora_extra">#REF!</definedName>
    <definedName name="Acréscimo_feriado" localSheetId="5">#REF!</definedName>
    <definedName name="Acréscimo_feriado" localSheetId="6">#REF!</definedName>
    <definedName name="Acréscimo_feriado" localSheetId="14">#REF!</definedName>
    <definedName name="Acréscimo_feriado">#REF!</definedName>
    <definedName name="Adicional_noturno" localSheetId="5">#REF!</definedName>
    <definedName name="Adicional_noturno" localSheetId="6">#REF!</definedName>
    <definedName name="Adicional_noturno" localSheetId="14">#REF!</definedName>
    <definedName name="Adicional_noturno">#REF!</definedName>
    <definedName name="Ajudante_diu_cap_mec" localSheetId="5">#REF!</definedName>
    <definedName name="Ajudante_diu_cap_mec" localSheetId="6">#REF!</definedName>
    <definedName name="Ajudante_diu_cap_mec" localSheetId="14">#REF!</definedName>
    <definedName name="Ajudante_diu_cap_mec">#REF!</definedName>
    <definedName name="Ajudante_diu_cap_mec_res" localSheetId="5">#REF!</definedName>
    <definedName name="Ajudante_diu_cap_mec_res" localSheetId="6">#REF!</definedName>
    <definedName name="Ajudante_diu_cap_mec_res" localSheetId="14">#REF!</definedName>
    <definedName name="Ajudante_diu_cap_mec_res">#REF!</definedName>
    <definedName name="Ajudante_diu_eq_padrão" localSheetId="5">#REF!</definedName>
    <definedName name="Ajudante_diu_eq_padrão" localSheetId="6">#REF!</definedName>
    <definedName name="Ajudante_diu_eq_padrão" localSheetId="14">#REF!</definedName>
    <definedName name="Ajudante_diu_eq_padrão">#REF!</definedName>
    <definedName name="Ajudante_diu_eq_padrão_res" localSheetId="5">#REF!</definedName>
    <definedName name="Ajudante_diu_eq_padrão_res" localSheetId="6">#REF!</definedName>
    <definedName name="Ajudante_diu_eq_padrão_res" localSheetId="14">#REF!</definedName>
    <definedName name="Ajudante_diu_eq_padrão_res">#REF!</definedName>
    <definedName name="Ajudante_diu_lav_vias" localSheetId="5">#REF!</definedName>
    <definedName name="Ajudante_diu_lav_vias" localSheetId="6">#REF!</definedName>
    <definedName name="Ajudante_diu_lav_vias" localSheetId="14">#REF!</definedName>
    <definedName name="Ajudante_diu_lav_vias">#REF!</definedName>
    <definedName name="Ajudante_diu_lav_vias_res" localSheetId="5">#REF!</definedName>
    <definedName name="Ajudante_diu_lav_vias_res" localSheetId="6">#REF!</definedName>
    <definedName name="Ajudante_diu_lav_vias_res" localSheetId="14">#REF!</definedName>
    <definedName name="Ajudante_diu_lav_vias_res">#REF!</definedName>
    <definedName name="Ajudante_diu_op_aterro" localSheetId="5">#REF!</definedName>
    <definedName name="Ajudante_diu_op_aterro" localSheetId="6">#REF!</definedName>
    <definedName name="Ajudante_diu_op_aterro" localSheetId="14">#REF!</definedName>
    <definedName name="Ajudante_diu_op_aterro">#REF!</definedName>
    <definedName name="Ajudante_diu_op_aterro_res" localSheetId="5">#REF!</definedName>
    <definedName name="Ajudante_diu_op_aterro_res" localSheetId="6">#REF!</definedName>
    <definedName name="Ajudante_diu_op_aterro_res" localSheetId="14">#REF!</definedName>
    <definedName name="Ajudante_diu_op_aterro_res">#REF!</definedName>
    <definedName name="Ajudante_diu_usi_rec_comp" localSheetId="5">#REF!</definedName>
    <definedName name="Ajudante_diu_usi_rec_comp" localSheetId="6">#REF!</definedName>
    <definedName name="Ajudante_diu_usi_rec_comp" localSheetId="14">#REF!</definedName>
    <definedName name="Ajudante_diu_usi_rec_comp">#REF!</definedName>
    <definedName name="Ajudante_diu_usi_rec_comp_res" localSheetId="5">#REF!</definedName>
    <definedName name="Ajudante_diu_usi_rec_comp_res" localSheetId="6">#REF!</definedName>
    <definedName name="Ajudante_diu_usi_rec_comp_res" localSheetId="14">#REF!</definedName>
    <definedName name="Ajudante_diu_usi_rec_comp_res">#REF!</definedName>
    <definedName name="Ajudante_diu_usi_tra_RSSS" localSheetId="5">#REF!</definedName>
    <definedName name="Ajudante_diu_usi_tra_RSSS" localSheetId="6">#REF!</definedName>
    <definedName name="Ajudante_diu_usi_tra_RSSS" localSheetId="14">#REF!</definedName>
    <definedName name="Ajudante_diu_usi_tra_RSSS">#REF!</definedName>
    <definedName name="Ajudante_diu_usi_tra_RSSS_res" localSheetId="5">#REF!</definedName>
    <definedName name="Ajudante_diu_usi_tra_RSSS_res" localSheetId="6">#REF!</definedName>
    <definedName name="Ajudante_diu_usi_tra_RSSS_res" localSheetId="14">#REF!</definedName>
    <definedName name="Ajudante_diu_usi_tra_RSSS_res">#REF!</definedName>
    <definedName name="Ajudante_not_cap_mec" localSheetId="5">#REF!</definedName>
    <definedName name="Ajudante_not_cap_mec" localSheetId="6">#REF!</definedName>
    <definedName name="Ajudante_not_cap_mec" localSheetId="14">#REF!</definedName>
    <definedName name="Ajudante_not_cap_mec">#REF!</definedName>
    <definedName name="Ajudante_not_cap_mec_res" localSheetId="5">#REF!</definedName>
    <definedName name="Ajudante_not_cap_mec_res" localSheetId="6">#REF!</definedName>
    <definedName name="Ajudante_not_cap_mec_res" localSheetId="14">#REF!</definedName>
    <definedName name="Ajudante_not_cap_mec_res">#REF!</definedName>
    <definedName name="Ajudante_not_eq_padrão" localSheetId="5">#REF!</definedName>
    <definedName name="Ajudante_not_eq_padrão" localSheetId="6">#REF!</definedName>
    <definedName name="Ajudante_not_eq_padrão" localSheetId="14">#REF!</definedName>
    <definedName name="Ajudante_not_eq_padrão">#REF!</definedName>
    <definedName name="Ajudante_not_eq_padrão_res" localSheetId="5">#REF!</definedName>
    <definedName name="Ajudante_not_eq_padrão_res" localSheetId="6">#REF!</definedName>
    <definedName name="Ajudante_not_eq_padrão_res" localSheetId="14">#REF!</definedName>
    <definedName name="Ajudante_not_eq_padrão_res">#REF!</definedName>
    <definedName name="Ajudante_not_lav_vias" localSheetId="5">#REF!</definedName>
    <definedName name="Ajudante_not_lav_vias" localSheetId="6">#REF!</definedName>
    <definedName name="Ajudante_not_lav_vias" localSheetId="14">#REF!</definedName>
    <definedName name="Ajudante_not_lav_vias">#REF!</definedName>
    <definedName name="Ajudante_not_lav_vias_res" localSheetId="5">#REF!</definedName>
    <definedName name="Ajudante_not_lav_vias_res" localSheetId="6">#REF!</definedName>
    <definedName name="Ajudante_not_lav_vias_res" localSheetId="14">#REF!</definedName>
    <definedName name="Ajudante_not_lav_vias_res">#REF!</definedName>
    <definedName name="Ajudante_not_op_aterro" localSheetId="5">#REF!</definedName>
    <definedName name="Ajudante_not_op_aterro" localSheetId="6">#REF!</definedName>
    <definedName name="Ajudante_not_op_aterro" localSheetId="14">#REF!</definedName>
    <definedName name="Ajudante_not_op_aterro">#REF!</definedName>
    <definedName name="Ajudante_not_op_aterro_res" localSheetId="5">#REF!</definedName>
    <definedName name="Ajudante_not_op_aterro_res" localSheetId="6">#REF!</definedName>
    <definedName name="Ajudante_not_op_aterro_res" localSheetId="14">#REF!</definedName>
    <definedName name="Ajudante_not_op_aterro_res">#REF!</definedName>
    <definedName name="Ajudante_not_usi_rec_comp" localSheetId="5">#REF!</definedName>
    <definedName name="Ajudante_not_usi_rec_comp" localSheetId="6">#REF!</definedName>
    <definedName name="Ajudante_not_usi_rec_comp" localSheetId="14">#REF!</definedName>
    <definedName name="Ajudante_not_usi_rec_comp">#REF!</definedName>
    <definedName name="Ajudante_not_usi_rec_comp_res" localSheetId="5">#REF!</definedName>
    <definedName name="Ajudante_not_usi_rec_comp_res" localSheetId="6">#REF!</definedName>
    <definedName name="Ajudante_not_usi_rec_comp_res" localSheetId="14">#REF!</definedName>
    <definedName name="Ajudante_not_usi_rec_comp_res">#REF!</definedName>
    <definedName name="Ajudante_not_usi_tra_RSSS" localSheetId="5">#REF!</definedName>
    <definedName name="Ajudante_not_usi_tra_RSSS" localSheetId="6">#REF!</definedName>
    <definedName name="Ajudante_not_usi_tra_RSSS" localSheetId="14">#REF!</definedName>
    <definedName name="Ajudante_not_usi_tra_RSSS">#REF!</definedName>
    <definedName name="Ajudante_not_usi_tra_RSSS_res" localSheetId="5">#REF!</definedName>
    <definedName name="Ajudante_not_usi_tra_RSSS_res" localSheetId="6">#REF!</definedName>
    <definedName name="Ajudante_not_usi_tra_RSSS_res" localSheetId="14">#REF!</definedName>
    <definedName name="Ajudante_not_usi_tra_RSSS_res">#REF!</definedName>
    <definedName name="Análise" localSheetId="5">#REF!</definedName>
    <definedName name="Análise" localSheetId="6">#REF!</definedName>
    <definedName name="Análise" localSheetId="14">#REF!</definedName>
    <definedName name="Análise">#REF!</definedName>
    <definedName name="AnimCapa" localSheetId="5">#REF!</definedName>
    <definedName name="AnimCapa" localSheetId="6">#REF!</definedName>
    <definedName name="AnimCapa" localSheetId="14">#REF!</definedName>
    <definedName name="AnimCapa">#REF!</definedName>
    <definedName name="AnimDetalhes" localSheetId="5">#REF!</definedName>
    <definedName name="AnimDetalhes" localSheetId="6">#REF!</definedName>
    <definedName name="AnimDetalhes" localSheetId="14">#REF!</definedName>
    <definedName name="AnimDetalhes">#REF!</definedName>
    <definedName name="Apoio" localSheetId="5">#REF!</definedName>
    <definedName name="Apoio" localSheetId="6">#REF!</definedName>
    <definedName name="Apoio" localSheetId="14">#REF!</definedName>
    <definedName name="Apoio">#REF!</definedName>
    <definedName name="_xlnm.Print_Area" localSheetId="4">'1 Coleta Domiciliar'!$A$1:$S$288</definedName>
    <definedName name="_xlnm.Print_Area" localSheetId="5">'2 varrição manual '!$A$1:$Q$184</definedName>
    <definedName name="_xlnm.Print_Area" localSheetId="6">'9 Conteiner'!$A$1:$Q$24</definedName>
    <definedName name="_xlnm.Print_Area" localSheetId="2">Administração!$A$9:$S$262</definedName>
    <definedName name="_xlnm.Print_Area" localSheetId="9">'BANCO DE DADOS'!$A$1:$M$124</definedName>
    <definedName name="_xlnm.Print_Area" localSheetId="3">'Coleta Rural '!$A$9:$S$228</definedName>
    <definedName name="_xlnm.Print_Area" localSheetId="1">Cronograma!$A$1:$Q$22</definedName>
    <definedName name="_xlnm.Print_Area" localSheetId="14">DPVAT!$A$1:$J$12</definedName>
    <definedName name="_xlnm.Print_Area" localSheetId="7">Encargos!$A$1:$C$40</definedName>
    <definedName name="_xlnm.Print_Area" localSheetId="15">EPI!$A$1:$K$58</definedName>
    <definedName name="_xlnm.Print_Area" localSheetId="12">FERRAMENTAS!$A$1:$K$49</definedName>
    <definedName name="_xlnm.Print_Area" localSheetId="10">'MÃO DE OBRA'!$A$2:$C$42</definedName>
    <definedName name="_xlnm.Print_Area" localSheetId="0">'PLANILHA ORÇAMENTARIA'!$A$1:$L$14</definedName>
    <definedName name="_xlnm.Print_Area" localSheetId="13">'UNIFORMES E EPIS'!$A$1:$I$26</definedName>
    <definedName name="_xlnm.Print_Area" localSheetId="11">'VEÍCULOS EQUIPAMENTOS'!$A$1:$K$53</definedName>
    <definedName name="AterroCapa" localSheetId="5">#REF!</definedName>
    <definedName name="AterroCapa" localSheetId="6">#REF!</definedName>
    <definedName name="AterroCapa" localSheetId="14">#REF!</definedName>
    <definedName name="AterroCapa">#REF!</definedName>
    <definedName name="AterroDetalhes" localSheetId="5">#REF!</definedName>
    <definedName name="AterroDetalhes" localSheetId="6">#REF!</definedName>
    <definedName name="AterroDetalhes" localSheetId="14">#REF!</definedName>
    <definedName name="AterroDetalhes">#REF!</definedName>
    <definedName name="B" localSheetId="5">#REF!</definedName>
    <definedName name="B" localSheetId="6">#REF!</definedName>
    <definedName name="B" localSheetId="14">#REF!</definedName>
    <definedName name="B">#REF!</definedName>
    <definedName name="BANCO" localSheetId="5">#REF!</definedName>
    <definedName name="BANCO" localSheetId="6">#REF!</definedName>
    <definedName name="BANCO" localSheetId="14">#REF!</definedName>
    <definedName name="BANCO">#REF!</definedName>
    <definedName name="Banco_dados_IM" localSheetId="5">#REF!</definedName>
    <definedName name="Banco_dados_IM" localSheetId="6">#REF!</definedName>
    <definedName name="Banco_dados_IM" localSheetId="14">#REF!</definedName>
    <definedName name="Banco_dados_IM">#REF!</definedName>
    <definedName name="_xlnm.Database" localSheetId="5">#REF!</definedName>
    <definedName name="_xlnm.Database" localSheetId="6">#REF!</definedName>
    <definedName name="_xlnm.Database" localSheetId="14">#REF!</definedName>
    <definedName name="_xlnm.Database">#REF!</definedName>
    <definedName name="Basc" localSheetId="5">#REF!</definedName>
    <definedName name="Basc" localSheetId="6">#REF!</definedName>
    <definedName name="Basc" localSheetId="14">#REF!</definedName>
    <definedName name="Basc">#REF!</definedName>
    <definedName name="BD_sal_aju_aterro" localSheetId="5">#REF!</definedName>
    <definedName name="BD_sal_aju_aterro" localSheetId="6">#REF!</definedName>
    <definedName name="BD_sal_aju_aterro" localSheetId="14">#REF!</definedName>
    <definedName name="BD_sal_aju_aterro">#REF!</definedName>
    <definedName name="BD_sal_aju_cam_aberto" localSheetId="5">#REF!</definedName>
    <definedName name="BD_sal_aju_cam_aberto" localSheetId="6">#REF!</definedName>
    <definedName name="BD_sal_aju_cam_aberto" localSheetId="14">#REF!</definedName>
    <definedName name="BD_sal_aju_cam_aberto">#REF!</definedName>
    <definedName name="BD_sal_aju_mec_cam_com" localSheetId="5">#REF!</definedName>
    <definedName name="BD_sal_aju_mec_cam_com" localSheetId="6">#REF!</definedName>
    <definedName name="BD_sal_aju_mec_cam_com" localSheetId="14">#REF!</definedName>
    <definedName name="BD_sal_aju_mec_cam_com">#REF!</definedName>
    <definedName name="BD_sal_aju_usi_tra_RSSS" localSheetId="5">#REF!</definedName>
    <definedName name="BD_sal_aju_usi_tra_RSSS" localSheetId="6">#REF!</definedName>
    <definedName name="BD_sal_aju_usi_tra_RSSS" localSheetId="14">#REF!</definedName>
    <definedName name="BD_sal_aju_usi_tra_RSSS">#REF!</definedName>
    <definedName name="BD_sal_carrinheiro" localSheetId="5">#REF!</definedName>
    <definedName name="BD_sal_carrinheiro" localSheetId="6">#REF!</definedName>
    <definedName name="BD_sal_carrinheiro" localSheetId="14">#REF!</definedName>
    <definedName name="BD_sal_carrinheiro">#REF!</definedName>
    <definedName name="BD_sal_coletor_dom" localSheetId="5">#REF!</definedName>
    <definedName name="BD_sal_coletor_dom" localSheetId="6">#REF!</definedName>
    <definedName name="BD_sal_coletor_dom" localSheetId="14">#REF!</definedName>
    <definedName name="BD_sal_coletor_dom">#REF!</definedName>
    <definedName name="BD_sal_coletor_hosp" localSheetId="5">#REF!</definedName>
    <definedName name="BD_sal_coletor_hosp" localSheetId="6">#REF!</definedName>
    <definedName name="BD_sal_coletor_hosp" localSheetId="14">#REF!</definedName>
    <definedName name="BD_sal_coletor_hosp">#REF!</definedName>
    <definedName name="BD_sal_coletor_varrição" localSheetId="5">#REF!</definedName>
    <definedName name="BD_sal_coletor_varrição" localSheetId="6">#REF!</definedName>
    <definedName name="BD_sal_coletor_varrição" localSheetId="14">#REF!</definedName>
    <definedName name="BD_sal_coletor_varrição">#REF!</definedName>
    <definedName name="BD_sal_encarregado" localSheetId="5">#REF!</definedName>
    <definedName name="BD_sal_encarregado" localSheetId="6">#REF!</definedName>
    <definedName name="BD_sal_encarregado" localSheetId="14">#REF!</definedName>
    <definedName name="BD_sal_encarregado">#REF!</definedName>
    <definedName name="BD_sal_encarregado_aterro" localSheetId="5">#REF!</definedName>
    <definedName name="BD_sal_encarregado_aterro" localSheetId="6">#REF!</definedName>
    <definedName name="BD_sal_encarregado_aterro" localSheetId="14">#REF!</definedName>
    <definedName name="BD_sal_encarregado_aterro">#REF!</definedName>
    <definedName name="BD_sal_feitor_varrição" localSheetId="5">#REF!</definedName>
    <definedName name="BD_sal_feitor_varrição" localSheetId="6">#REF!</definedName>
    <definedName name="BD_sal_feitor_varrição" localSheetId="14">#REF!</definedName>
    <definedName name="BD_sal_feitor_varrição">#REF!</definedName>
    <definedName name="BD_sal_gari" localSheetId="5">#REF!</definedName>
    <definedName name="BD_sal_gari" localSheetId="6">#REF!</definedName>
    <definedName name="BD_sal_gari" localSheetId="14">#REF!</definedName>
    <definedName name="BD_sal_gari">#REF!</definedName>
    <definedName name="BD_sal_jardineiro" localSheetId="5">#REF!</definedName>
    <definedName name="BD_sal_jardineiro" localSheetId="6">#REF!</definedName>
    <definedName name="BD_sal_jardineiro" localSheetId="14">#REF!</definedName>
    <definedName name="BD_sal_jardineiro">#REF!</definedName>
    <definedName name="BD_sal_lav_cam_com" localSheetId="5">#REF!</definedName>
    <definedName name="BD_sal_lav_cam_com" localSheetId="6">#REF!</definedName>
    <definedName name="BD_sal_lav_cam_com" localSheetId="14">#REF!</definedName>
    <definedName name="BD_sal_lav_cam_com">#REF!</definedName>
    <definedName name="BD_sal_limp_boca_lobo" localSheetId="5">#REF!</definedName>
    <definedName name="BD_sal_limp_boca_lobo" localSheetId="6">#REF!</definedName>
    <definedName name="BD_sal_limp_boca_lobo" localSheetId="14">#REF!</definedName>
    <definedName name="BD_sal_limp_boca_lobo">#REF!</definedName>
    <definedName name="BD_sal_limp_fossa" localSheetId="5">#REF!</definedName>
    <definedName name="BD_sal_limp_fossa" localSheetId="6">#REF!</definedName>
    <definedName name="BD_sal_limp_fossa" localSheetId="14">#REF!</definedName>
    <definedName name="BD_sal_limp_fossa">#REF!</definedName>
    <definedName name="BD_sal_mec_cam_com" localSheetId="5">#REF!</definedName>
    <definedName name="BD_sal_mec_cam_com" localSheetId="6">#REF!</definedName>
    <definedName name="BD_sal_mec_cam_com" localSheetId="14">#REF!</definedName>
    <definedName name="BD_sal_mec_cam_com">#REF!</definedName>
    <definedName name="BD_sal_mot_cam_com" localSheetId="5">#REF!</definedName>
    <definedName name="BD_sal_mot_cam_com" localSheetId="6">#REF!</definedName>
    <definedName name="BD_sal_mot_cam_com" localSheetId="14">#REF!</definedName>
    <definedName name="BD_sal_mot_cam_com">#REF!</definedName>
    <definedName name="BD_sal_op_balança" localSheetId="5">#REF!</definedName>
    <definedName name="BD_sal_op_balança" localSheetId="6">#REF!</definedName>
    <definedName name="BD_sal_op_balança" localSheetId="14">#REF!</definedName>
    <definedName name="BD_sal_op_balança">#REF!</definedName>
    <definedName name="BD_sal_op_maq_capinadeira" localSheetId="5">#REF!</definedName>
    <definedName name="BD_sal_op_maq_capinadeira" localSheetId="6">#REF!</definedName>
    <definedName name="BD_sal_op_maq_capinadeira" localSheetId="14">#REF!</definedName>
    <definedName name="BD_sal_op_maq_capinadeira">#REF!</definedName>
    <definedName name="BD_sal_op_pá_carr" localSheetId="5">#REF!</definedName>
    <definedName name="BD_sal_op_pá_carr" localSheetId="6">#REF!</definedName>
    <definedName name="BD_sal_op_pá_carr" localSheetId="14">#REF!</definedName>
    <definedName name="BD_sal_op_pá_carr">#REF!</definedName>
    <definedName name="BD_sal_op_roçadeira" localSheetId="5">#REF!</definedName>
    <definedName name="BD_sal_op_roçadeira" localSheetId="6">#REF!</definedName>
    <definedName name="BD_sal_op_roçadeira" localSheetId="14">#REF!</definedName>
    <definedName name="BD_sal_op_roçadeira">#REF!</definedName>
    <definedName name="BD_sal_op_rolo_com" localSheetId="5">#REF!</definedName>
    <definedName name="BD_sal_op_rolo_com" localSheetId="6">#REF!</definedName>
    <definedName name="BD_sal_op_rolo_com" localSheetId="14">#REF!</definedName>
    <definedName name="BD_sal_op_rolo_com">#REF!</definedName>
    <definedName name="BD_sal_op_usi_tra_RSSS" localSheetId="5">#REF!</definedName>
    <definedName name="BD_sal_op_usi_tra_RSSS" localSheetId="6">#REF!</definedName>
    <definedName name="BD_sal_op_usi_tra_RSSS" localSheetId="14">#REF!</definedName>
    <definedName name="BD_sal_op_usi_tra_RSSS">#REF!</definedName>
    <definedName name="BD_sal_op_usina_rec_comp" localSheetId="5">#REF!</definedName>
    <definedName name="BD_sal_op_usina_rec_comp" localSheetId="6">#REF!</definedName>
    <definedName name="BD_sal_op_usina_rec_comp" localSheetId="14">#REF!</definedName>
    <definedName name="BD_sal_op_usina_rec_comp">#REF!</definedName>
    <definedName name="BD_sal_podador" localSheetId="5">#REF!</definedName>
    <definedName name="BD_sal_podador" localSheetId="6">#REF!</definedName>
    <definedName name="BD_sal_podador" localSheetId="14">#REF!</definedName>
    <definedName name="BD_sal_podador">#REF!</definedName>
    <definedName name="BD_sal_porteiro" localSheetId="5">#REF!</definedName>
    <definedName name="BD_sal_porteiro" localSheetId="6">#REF!</definedName>
    <definedName name="BD_sal_porteiro" localSheetId="14">#REF!</definedName>
    <definedName name="BD_sal_porteiro">#REF!</definedName>
    <definedName name="BD_sal_tratorista" localSheetId="5">#REF!</definedName>
    <definedName name="BD_sal_tratorista" localSheetId="6">#REF!</definedName>
    <definedName name="BD_sal_tratorista" localSheetId="14">#REF!</definedName>
    <definedName name="BD_sal_tratorista">#REF!</definedName>
    <definedName name="BD_sal_varredeira" localSheetId="5">#REF!</definedName>
    <definedName name="BD_sal_varredeira" localSheetId="6">#REF!</definedName>
    <definedName name="BD_sal_varredeira" localSheetId="14">#REF!</definedName>
    <definedName name="BD_sal_varredeira">#REF!</definedName>
    <definedName name="BD_sal_vigia" localSheetId="5">#REF!</definedName>
    <definedName name="BD_sal_vigia" localSheetId="6">#REF!</definedName>
    <definedName name="BD_sal_vigia" localSheetId="14">#REF!</definedName>
    <definedName name="BD_sal_vigia">#REF!</definedName>
    <definedName name="BDI" localSheetId="5">#REF!</definedName>
    <definedName name="BDI" localSheetId="6">#REF!</definedName>
    <definedName name="BDI" localSheetId="14">#REF!</definedName>
    <definedName name="BDI">#REF!</definedName>
    <definedName name="C_" localSheetId="5">#REF!</definedName>
    <definedName name="C_" localSheetId="6">#REF!</definedName>
    <definedName name="C_" localSheetId="14">#REF!</definedName>
    <definedName name="C_">#REF!</definedName>
    <definedName name="Carr" localSheetId="5">#REF!</definedName>
    <definedName name="Carr" localSheetId="6">#REF!</definedName>
    <definedName name="Carr" localSheetId="14">#REF!</definedName>
    <definedName name="Carr">#REF!</definedName>
    <definedName name="Cesta_Básica" localSheetId="5">#REF!</definedName>
    <definedName name="Cesta_Básica" localSheetId="6">#REF!</definedName>
    <definedName name="Cesta_Básica" localSheetId="14">#REF!</definedName>
    <definedName name="Cesta_Básica">#REF!</definedName>
    <definedName name="Coletor_diu_col_hosp" localSheetId="5">#REF!</definedName>
    <definedName name="Coletor_diu_col_hosp" localSheetId="6">#REF!</definedName>
    <definedName name="Coletor_diu_col_hosp" localSheetId="14">#REF!</definedName>
    <definedName name="Coletor_diu_col_hosp">#REF!</definedName>
    <definedName name="Coletor_diu_col_hosp_res" localSheetId="5">#REF!</definedName>
    <definedName name="Coletor_diu_col_hosp_res" localSheetId="6">#REF!</definedName>
    <definedName name="Coletor_diu_col_hosp_res" localSheetId="14">#REF!</definedName>
    <definedName name="Coletor_diu_col_hosp_res">#REF!</definedName>
    <definedName name="Coletor_diu_col_sel" localSheetId="5">#REF!</definedName>
    <definedName name="Coletor_diu_col_sel" localSheetId="6">#REF!</definedName>
    <definedName name="Coletor_diu_col_sel" localSheetId="14">#REF!</definedName>
    <definedName name="Coletor_diu_col_sel">#REF!</definedName>
    <definedName name="Coletor_diu_col_sel_res" localSheetId="5">#REF!</definedName>
    <definedName name="Coletor_diu_col_sel_res" localSheetId="6">#REF!</definedName>
    <definedName name="Coletor_diu_col_sel_res" localSheetId="14">#REF!</definedName>
    <definedName name="Coletor_diu_col_sel_res">#REF!</definedName>
    <definedName name="Coletor_not_col_hosp" localSheetId="5">#REF!</definedName>
    <definedName name="Coletor_not_col_hosp" localSheetId="6">#REF!</definedName>
    <definedName name="Coletor_not_col_hosp" localSheetId="14">#REF!</definedName>
    <definedName name="Coletor_not_col_hosp">#REF!</definedName>
    <definedName name="Coletor_not_col_hosp_res" localSheetId="5">#REF!</definedName>
    <definedName name="Coletor_not_col_hosp_res" localSheetId="6">#REF!</definedName>
    <definedName name="Coletor_not_col_hosp_res" localSheetId="14">#REF!</definedName>
    <definedName name="Coletor_not_col_hosp_res">#REF!</definedName>
    <definedName name="Coletor_not_col_sel" localSheetId="5">#REF!</definedName>
    <definedName name="Coletor_not_col_sel" localSheetId="6">#REF!</definedName>
    <definedName name="Coletor_not_col_sel" localSheetId="14">#REF!</definedName>
    <definedName name="Coletor_not_col_sel">#REF!</definedName>
    <definedName name="Coletor_not_col_sel_res" localSheetId="5">#REF!</definedName>
    <definedName name="Coletor_not_col_sel_res" localSheetId="6">#REF!</definedName>
    <definedName name="Coletor_not_col_sel_res" localSheetId="14">#REF!</definedName>
    <definedName name="Coletor_not_col_sel_res">#REF!</definedName>
    <definedName name="CompCapa" localSheetId="5">#REF!</definedName>
    <definedName name="CompCapa" localSheetId="6">#REF!</definedName>
    <definedName name="CompCapa" localSheetId="14">#REF!</definedName>
    <definedName name="CompCapa">#REF!</definedName>
    <definedName name="CompDetalhes" localSheetId="5">#REF!</definedName>
    <definedName name="CompDetalhes" localSheetId="6">#REF!</definedName>
    <definedName name="CompDetalhes" localSheetId="14">#REF!</definedName>
    <definedName name="CompDetalhes">#REF!</definedName>
    <definedName name="Convênio_médico" localSheetId="5">#REF!</definedName>
    <definedName name="Convênio_médico" localSheetId="6">#REF!</definedName>
    <definedName name="Convênio_médico" localSheetId="14">#REF!</definedName>
    <definedName name="Convênio_médico">#REF!</definedName>
    <definedName name="_xlnm.Criteria" localSheetId="5">#REF!</definedName>
    <definedName name="_xlnm.Criteria" localSheetId="6">#REF!</definedName>
    <definedName name="_xlnm.Criteria" localSheetId="14">#REF!</definedName>
    <definedName name="_xlnm.Criteria">#REF!</definedName>
    <definedName name="Critérios_IM" localSheetId="5">#REF!</definedName>
    <definedName name="Critérios_IM" localSheetId="6">#REF!</definedName>
    <definedName name="Critérios_IM" localSheetId="14">#REF!</definedName>
    <definedName name="Critérios_IM">#REF!</definedName>
    <definedName name="CUSTO_OPERACIONAL" localSheetId="5">#REF!</definedName>
    <definedName name="CUSTO_OPERACIONAL" localSheetId="6">#REF!</definedName>
    <definedName name="CUSTO_OPERACIONAL" localSheetId="14">#REF!</definedName>
    <definedName name="CUSTO_OPERACIONAL">#REF!</definedName>
    <definedName name="Custo_tot_coletor_col_sel" localSheetId="5">#REF!</definedName>
    <definedName name="Custo_tot_coletor_col_sel" localSheetId="6">#REF!</definedName>
    <definedName name="Custo_tot_coletor_col_sel" localSheetId="14">#REF!</definedName>
    <definedName name="Custo_tot_coletor_col_sel">#REF!</definedName>
    <definedName name="Custo_tot_mot_col_sel" localSheetId="5">#REF!</definedName>
    <definedName name="Custo_tot_mot_col_sel" localSheetId="6">#REF!</definedName>
    <definedName name="Custo_tot_mot_col_sel" localSheetId="14">#REF!</definedName>
    <definedName name="Custo_tot_mot_col_sel">#REF!</definedName>
    <definedName name="Custo_tot_mot_eq_padrão" localSheetId="5">#REF!</definedName>
    <definedName name="Custo_tot_mot_eq_padrão" localSheetId="6">#REF!</definedName>
    <definedName name="Custo_tot_mot_eq_padrão" localSheetId="14">#REF!</definedName>
    <definedName name="Custo_tot_mot_eq_padrão">#REF!</definedName>
    <definedName name="Custo_tot_uniforme_col_sel" localSheetId="5">#REF!</definedName>
    <definedName name="Custo_tot_uniforme_col_sel" localSheetId="6">#REF!</definedName>
    <definedName name="Custo_tot_uniforme_col_sel" localSheetId="14">#REF!</definedName>
    <definedName name="Custo_tot_uniforme_col_sel">#REF!</definedName>
    <definedName name="Custo_tot_uniforme_var_man" localSheetId="5">#REF!</definedName>
    <definedName name="Custo_tot_uniforme_var_man" localSheetId="6">#REF!</definedName>
    <definedName name="Custo_tot_uniforme_var_man" localSheetId="14">#REF!</definedName>
    <definedName name="Custo_tot_uniforme_var_man">#REF!</definedName>
    <definedName name="Custo_tot_varredeiras_var_man" localSheetId="5">#REF!</definedName>
    <definedName name="Custo_tot_varredeiras_var_man" localSheetId="6">#REF!</definedName>
    <definedName name="Custo_tot_varredeiras_var_man" localSheetId="14">#REF!</definedName>
    <definedName name="Custo_tot_varredeiras_var_man">#REF!</definedName>
    <definedName name="Custo_total_cam_comp" localSheetId="5">'[1]1 -DOM.'!#REF!</definedName>
    <definedName name="Custo_total_cam_comp" localSheetId="6">'[1]1 -DOM.'!#REF!</definedName>
    <definedName name="Custo_total_cam_comp" localSheetId="14">'[1]1 -DOM.'!#REF!</definedName>
    <definedName name="Custo_total_cam_comp">'[1]1 -DOM.'!#REF!</definedName>
    <definedName name="Custo_total_inst_coleta_dom" localSheetId="5">'[1]1 -DOM.'!#REF!</definedName>
    <definedName name="Custo_total_inst_coleta_dom" localSheetId="6">'[1]1 -DOM.'!#REF!</definedName>
    <definedName name="Custo_total_inst_coleta_dom" localSheetId="14">'[1]1 -DOM.'!#REF!</definedName>
    <definedName name="Custo_total_inst_coleta_dom">'[1]1 -DOM.'!#REF!</definedName>
    <definedName name="Custo_total_mo_ind_coleta" localSheetId="5">'[1]1 -DOM.'!#REF!</definedName>
    <definedName name="Custo_total_mo_ind_coleta" localSheetId="6">'[1]1 -DOM.'!#REF!</definedName>
    <definedName name="Custo_total_mo_ind_coleta" localSheetId="14">'[1]1 -DOM.'!#REF!</definedName>
    <definedName name="Custo_total_mo_ind_coleta">'[1]1 -DOM.'!#REF!</definedName>
    <definedName name="Custo_total_rádio_cam_com" localSheetId="5">'[1]1 -DOM.'!#REF!</definedName>
    <definedName name="Custo_total_rádio_cam_com" localSheetId="6">'[1]1 -DOM.'!#REF!</definedName>
    <definedName name="Custo_total_rádio_cam_com" localSheetId="14">'[1]1 -DOM.'!#REF!</definedName>
    <definedName name="Custo_total_rádio_cam_com">'[1]1 -DOM.'!#REF!</definedName>
    <definedName name="Custo_total_vei_fisc_coleta" localSheetId="5">'[1]1 -DOM.'!#REF!</definedName>
    <definedName name="Custo_total_vei_fisc_coleta" localSheetId="6">'[1]1 -DOM.'!#REF!</definedName>
    <definedName name="Custo_total_vei_fisc_coleta" localSheetId="14">'[1]1 -DOM.'!#REF!</definedName>
    <definedName name="Custo_total_vei_fisc_coleta">'[1]1 -DOM.'!#REF!</definedName>
    <definedName name="Custo_total_vei_fisc_coleta_dom" localSheetId="5">'[1]1 -DOM.'!#REF!</definedName>
    <definedName name="Custo_total_vei_fisc_coleta_dom" localSheetId="6">'[1]1 -DOM.'!#REF!</definedName>
    <definedName name="Custo_total_vei_fisc_coleta_dom" localSheetId="14">'[1]1 -DOM.'!#REF!</definedName>
    <definedName name="Custo_total_vei_fisc_coleta_dom">'[1]1 -DOM.'!#REF!</definedName>
    <definedName name="D" localSheetId="5">#REF!</definedName>
    <definedName name="D" localSheetId="6">#REF!</definedName>
    <definedName name="D" localSheetId="14">#REF!</definedName>
    <definedName name="D">#REF!</definedName>
    <definedName name="DADOS" localSheetId="5">#REF!</definedName>
    <definedName name="DADOS" localSheetId="6">#REF!</definedName>
    <definedName name="DADOS" localSheetId="14">#REF!</definedName>
    <definedName name="DADOS">#REF!</definedName>
    <definedName name="Des" localSheetId="5">#REF!</definedName>
    <definedName name="Des" localSheetId="6">#REF!</definedName>
    <definedName name="Des" localSheetId="14">#REF!</definedName>
    <definedName name="Des">#REF!</definedName>
    <definedName name="Desconto_vale_ref" localSheetId="5">#REF!</definedName>
    <definedName name="Desconto_vale_ref" localSheetId="6">#REF!</definedName>
    <definedName name="Desconto_vale_ref" localSheetId="14">#REF!</definedName>
    <definedName name="Desconto_vale_ref">#REF!</definedName>
    <definedName name="Desconto_vale_transp" localSheetId="5">#REF!</definedName>
    <definedName name="Desconto_vale_transp" localSheetId="6">#REF!</definedName>
    <definedName name="Desconto_vale_transp" localSheetId="14">#REF!</definedName>
    <definedName name="Desconto_vale_transp">#REF!</definedName>
    <definedName name="Dias_trabalhados" localSheetId="5">#REF!</definedName>
    <definedName name="Dias_trabalhados" localSheetId="6">#REF!</definedName>
    <definedName name="Dias_trabalhados" localSheetId="14">#REF!</definedName>
    <definedName name="Dias_trabalhados">#REF!</definedName>
    <definedName name="DMTCapas" localSheetId="5">#REF!</definedName>
    <definedName name="DMTCapas" localSheetId="6">#REF!</definedName>
    <definedName name="DMTCapas" localSheetId="14">#REF!</definedName>
    <definedName name="DMTCapas">#REF!</definedName>
    <definedName name="DMTDetalhes" localSheetId="5">#REF!</definedName>
    <definedName name="DMTDetalhes" localSheetId="6">#REF!</definedName>
    <definedName name="DMTDetalhes" localSheetId="14">#REF!</definedName>
    <definedName name="DMTDetalhes">#REF!</definedName>
    <definedName name="E" localSheetId="5">#REF!</definedName>
    <definedName name="E" localSheetId="6">#REF!</definedName>
    <definedName name="E" localSheetId="14">#REF!</definedName>
    <definedName name="E">#REF!</definedName>
    <definedName name="Encargos_sociais" localSheetId="5">#REF!</definedName>
    <definedName name="Encargos_sociais" localSheetId="6">#REF!</definedName>
    <definedName name="Encargos_sociais" localSheetId="14">#REF!</definedName>
    <definedName name="Encargos_sociais">#REF!</definedName>
    <definedName name="Encarregado_diu_op_aterro" localSheetId="5">#REF!</definedName>
    <definedName name="Encarregado_diu_op_aterro" localSheetId="6">#REF!</definedName>
    <definedName name="Encarregado_diu_op_aterro" localSheetId="14">#REF!</definedName>
    <definedName name="Encarregado_diu_op_aterro">#REF!</definedName>
    <definedName name="Encarregado_diu_op_aterro_res" localSheetId="5">#REF!</definedName>
    <definedName name="Encarregado_diu_op_aterro_res" localSheetId="6">#REF!</definedName>
    <definedName name="Encarregado_diu_op_aterro_res" localSheetId="14">#REF!</definedName>
    <definedName name="Encarregado_diu_op_aterro_res">#REF!</definedName>
    <definedName name="Encarregado_not_op_aterro" localSheetId="5">#REF!</definedName>
    <definedName name="Encarregado_not_op_aterro" localSheetId="6">#REF!</definedName>
    <definedName name="Encarregado_not_op_aterro" localSheetId="14">#REF!</definedName>
    <definedName name="Encarregado_not_op_aterro">#REF!</definedName>
    <definedName name="Encarregado_not_op_aterro_res" localSheetId="5">#REF!</definedName>
    <definedName name="Encarregado_not_op_aterro_res" localSheetId="6">#REF!</definedName>
    <definedName name="Encarregado_not_op_aterro_res" localSheetId="14">#REF!</definedName>
    <definedName name="Encarregado_not_op_aterro_res">#REF!</definedName>
    <definedName name="Exam_méd" localSheetId="5">#REF!</definedName>
    <definedName name="Exam_méd" localSheetId="6">#REF!</definedName>
    <definedName name="Exam_méd" localSheetId="14">#REF!</definedName>
    <definedName name="Exam_méd">#REF!</definedName>
    <definedName name="F" localSheetId="5">#REF!</definedName>
    <definedName name="F" localSheetId="6">#REF!</definedName>
    <definedName name="F" localSheetId="14">#REF!</definedName>
    <definedName name="F">#REF!</definedName>
    <definedName name="F_varrição_diu_var_man" localSheetId="5">#REF!</definedName>
    <definedName name="F_varrição_diu_var_man" localSheetId="6">#REF!</definedName>
    <definedName name="F_varrição_diu_var_man" localSheetId="14">#REF!</definedName>
    <definedName name="F_varrição_diu_var_man">#REF!</definedName>
    <definedName name="F_varrição_diu_var_man_res" localSheetId="5">#REF!</definedName>
    <definedName name="F_varrição_diu_var_man_res" localSheetId="6">#REF!</definedName>
    <definedName name="F_varrição_diu_var_man_res" localSheetId="14">#REF!</definedName>
    <definedName name="F_varrição_diu_var_man_res">#REF!</definedName>
    <definedName name="F_varrição_not_var_man" localSheetId="5">#REF!</definedName>
    <definedName name="F_varrição_not_var_man" localSheetId="6">#REF!</definedName>
    <definedName name="F_varrição_not_var_man" localSheetId="14">#REF!</definedName>
    <definedName name="F_varrição_not_var_man">#REF!</definedName>
    <definedName name="F_varrição_not_var_man_res" localSheetId="5">#REF!</definedName>
    <definedName name="F_varrição_not_var_man_res" localSheetId="6">#REF!</definedName>
    <definedName name="F_varrição_not_var_man_res" localSheetId="14">#REF!</definedName>
    <definedName name="F_varrição_not_var_man_res">#REF!</definedName>
    <definedName name="FarmCapa" localSheetId="5">#REF!</definedName>
    <definedName name="FarmCapa" localSheetId="6">#REF!</definedName>
    <definedName name="FarmCapa" localSheetId="14">#REF!</definedName>
    <definedName name="FarmCapa">#REF!</definedName>
    <definedName name="FarmDetalhes" localSheetId="5">#REF!</definedName>
    <definedName name="FarmDetalhes" localSheetId="6">#REF!</definedName>
    <definedName name="FarmDetalhes" localSheetId="14">#REF!</definedName>
    <definedName name="FarmDetalhes">#REF!</definedName>
    <definedName name="G" localSheetId="5">#REF!</definedName>
    <definedName name="G" localSheetId="6">#REF!</definedName>
    <definedName name="G" localSheetId="14">#REF!</definedName>
    <definedName name="G">#REF!</definedName>
    <definedName name="H_extra_diurna_lav_vias_mês" localSheetId="5">#REF!</definedName>
    <definedName name="H_extra_diurna_lav_vias_mês" localSheetId="6">#REF!</definedName>
    <definedName name="H_extra_diurna_lav_vias_mês" localSheetId="14">#REF!</definedName>
    <definedName name="H_extra_diurna_lav_vias_mês">#REF!</definedName>
    <definedName name="H_extra_diurna_prevista_cap_mec_mês" localSheetId="5">#REF!</definedName>
    <definedName name="H_extra_diurna_prevista_cap_mec_mês" localSheetId="6">#REF!</definedName>
    <definedName name="H_extra_diurna_prevista_cap_mec_mês" localSheetId="14">#REF!</definedName>
    <definedName name="H_extra_diurna_prevista_cap_mec_mês">#REF!</definedName>
    <definedName name="H_extra_diurna_prevista_col_hosp_mês" localSheetId="5">#REF!</definedName>
    <definedName name="H_extra_diurna_prevista_col_hosp_mês" localSheetId="6">#REF!</definedName>
    <definedName name="H_extra_diurna_prevista_col_hosp_mês" localSheetId="14">#REF!</definedName>
    <definedName name="H_extra_diurna_prevista_col_hosp_mês">#REF!</definedName>
    <definedName name="H_extra_diurna_prevista_coleta_seletiva_mês" localSheetId="5">#REF!</definedName>
    <definedName name="H_extra_diurna_prevista_coleta_seletiva_mês" localSheetId="6">#REF!</definedName>
    <definedName name="H_extra_diurna_prevista_coleta_seletiva_mês" localSheetId="14">#REF!</definedName>
    <definedName name="H_extra_diurna_prevista_coleta_seletiva_mês">#REF!</definedName>
    <definedName name="H_extra_diurna_prevista_eq_padrão_mês" localSheetId="5">#REF!</definedName>
    <definedName name="H_extra_diurna_prevista_eq_padrão_mês" localSheetId="6">#REF!</definedName>
    <definedName name="H_extra_diurna_prevista_eq_padrão_mês" localSheetId="14">#REF!</definedName>
    <definedName name="H_extra_diurna_prevista_eq_padrão_mês">#REF!</definedName>
    <definedName name="H_extra_diurna_prevista_lav_vias_mês" localSheetId="5">#REF!</definedName>
    <definedName name="H_extra_diurna_prevista_lav_vias_mês" localSheetId="6">#REF!</definedName>
    <definedName name="H_extra_diurna_prevista_lav_vias_mês" localSheetId="14">#REF!</definedName>
    <definedName name="H_extra_diurna_prevista_lav_vias_mês">#REF!</definedName>
    <definedName name="H_extra_diurna_prevista_loc_cam_bas_mês" localSheetId="5">#REF!</definedName>
    <definedName name="H_extra_diurna_prevista_loc_cam_bas_mês" localSheetId="6">#REF!</definedName>
    <definedName name="H_extra_diurna_prevista_loc_cam_bas_mês" localSheetId="14">#REF!</definedName>
    <definedName name="H_extra_diurna_prevista_loc_cam_bas_mês">#REF!</definedName>
    <definedName name="H_extra_diurna_prevista_loc_pá_carr_mês" localSheetId="5">#REF!</definedName>
    <definedName name="H_extra_diurna_prevista_loc_pá_carr_mês" localSheetId="6">#REF!</definedName>
    <definedName name="H_extra_diurna_prevista_loc_pá_carr_mês" localSheetId="14">#REF!</definedName>
    <definedName name="H_extra_diurna_prevista_loc_pá_carr_mês">#REF!</definedName>
    <definedName name="H_extra_diurna_prevista_loc_trator_mês" localSheetId="5">#REF!</definedName>
    <definedName name="H_extra_diurna_prevista_loc_trator_mês" localSheetId="6">#REF!</definedName>
    <definedName name="H_extra_diurna_prevista_loc_trator_mês" localSheetId="14">#REF!</definedName>
    <definedName name="H_extra_diurna_prevista_loc_trator_mês">#REF!</definedName>
    <definedName name="H_extra_diurna_prevista_op_aterro_mês" localSheetId="5">#REF!</definedName>
    <definedName name="H_extra_diurna_prevista_op_aterro_mês" localSheetId="6">#REF!</definedName>
    <definedName name="H_extra_diurna_prevista_op_aterro_mês" localSheetId="14">#REF!</definedName>
    <definedName name="H_extra_diurna_prevista_op_aterro_mês">#REF!</definedName>
    <definedName name="H_extra_diurna_prevista_tra_RSSS_mês" localSheetId="5">#REF!</definedName>
    <definedName name="H_extra_diurna_prevista_tra_RSSS_mês" localSheetId="6">#REF!</definedName>
    <definedName name="H_extra_diurna_prevista_tra_RSSS_mês" localSheetId="14">#REF!</definedName>
    <definedName name="H_extra_diurna_prevista_tra_RSSS_mês">#REF!</definedName>
    <definedName name="H_extra_diurna_prevista_usi_rec_com_mês" localSheetId="5">#REF!</definedName>
    <definedName name="H_extra_diurna_prevista_usi_rec_com_mês" localSheetId="6">#REF!</definedName>
    <definedName name="H_extra_diurna_prevista_usi_rec_com_mês" localSheetId="14">#REF!</definedName>
    <definedName name="H_extra_diurna_prevista_usi_rec_com_mês">#REF!</definedName>
    <definedName name="H_extra_diurna_prevista_var_man_mês" localSheetId="5">#REF!</definedName>
    <definedName name="H_extra_diurna_prevista_var_man_mês" localSheetId="6">#REF!</definedName>
    <definedName name="H_extra_diurna_prevista_var_man_mês" localSheetId="14">#REF!</definedName>
    <definedName name="H_extra_diurna_prevista_var_man_mês">#REF!</definedName>
    <definedName name="H_extra_noturna_prevista_col_hosp_mês" localSheetId="5">#REF!</definedName>
    <definedName name="H_extra_noturna_prevista_col_hosp_mês" localSheetId="6">#REF!</definedName>
    <definedName name="H_extra_noturna_prevista_col_hosp_mês" localSheetId="14">#REF!</definedName>
    <definedName name="H_extra_noturna_prevista_col_hosp_mês">#REF!</definedName>
    <definedName name="H_extra_noturna_prevista_coleta_seletiva_mês" localSheetId="5">#REF!</definedName>
    <definedName name="H_extra_noturna_prevista_coleta_seletiva_mês" localSheetId="6">#REF!</definedName>
    <definedName name="H_extra_noturna_prevista_coleta_seletiva_mês" localSheetId="14">#REF!</definedName>
    <definedName name="H_extra_noturna_prevista_coleta_seletiva_mês">#REF!</definedName>
    <definedName name="H_extra_noturna_prevista_eq_padrão_mês" localSheetId="5">#REF!</definedName>
    <definedName name="H_extra_noturna_prevista_eq_padrão_mês" localSheetId="6">#REF!</definedName>
    <definedName name="H_extra_noturna_prevista_eq_padrão_mês" localSheetId="14">#REF!</definedName>
    <definedName name="H_extra_noturna_prevista_eq_padrão_mês">#REF!</definedName>
    <definedName name="H_extra_noturna_prevista_loc_cam_bas_mês" localSheetId="5">#REF!</definedName>
    <definedName name="H_extra_noturna_prevista_loc_cam_bas_mês" localSheetId="6">#REF!</definedName>
    <definedName name="H_extra_noturna_prevista_loc_cam_bas_mês" localSheetId="14">#REF!</definedName>
    <definedName name="H_extra_noturna_prevista_loc_cam_bas_mês">#REF!</definedName>
    <definedName name="H_extra_noturna_prevista_loc_pá_carr_mês" localSheetId="5">#REF!</definedName>
    <definedName name="H_extra_noturna_prevista_loc_pá_carr_mês" localSheetId="6">#REF!</definedName>
    <definedName name="H_extra_noturna_prevista_loc_pá_carr_mês" localSheetId="14">#REF!</definedName>
    <definedName name="H_extra_noturna_prevista_loc_pá_carr_mês">#REF!</definedName>
    <definedName name="H_extra_noturna_prevista_loc_trator_mês" localSheetId="5">#REF!</definedName>
    <definedName name="H_extra_noturna_prevista_loc_trator_mês" localSheetId="6">#REF!</definedName>
    <definedName name="H_extra_noturna_prevista_loc_trator_mês" localSheetId="14">#REF!</definedName>
    <definedName name="H_extra_noturna_prevista_loc_trator_mês">#REF!</definedName>
    <definedName name="H_extra_noturna_prevista_op_aterro_mês" localSheetId="5">#REF!</definedName>
    <definedName name="H_extra_noturna_prevista_op_aterro_mês" localSheetId="6">#REF!</definedName>
    <definedName name="H_extra_noturna_prevista_op_aterro_mês" localSheetId="14">#REF!</definedName>
    <definedName name="H_extra_noturna_prevista_op_aterro_mês">#REF!</definedName>
    <definedName name="H_extra_noturna_prevista_tra_RSSS_mês" localSheetId="5">#REF!</definedName>
    <definedName name="H_extra_noturna_prevista_tra_RSSS_mês" localSheetId="6">#REF!</definedName>
    <definedName name="H_extra_noturna_prevista_tra_RSSS_mês" localSheetId="14">#REF!</definedName>
    <definedName name="H_extra_noturna_prevista_tra_RSSS_mês">#REF!</definedName>
    <definedName name="H_extra_noturna_prevista_usi_rec_com_mês" localSheetId="5">#REF!</definedName>
    <definedName name="H_extra_noturna_prevista_usi_rec_com_mês" localSheetId="6">#REF!</definedName>
    <definedName name="H_extra_noturna_prevista_usi_rec_com_mês" localSheetId="14">#REF!</definedName>
    <definedName name="H_extra_noturna_prevista_usi_rec_com_mês">#REF!</definedName>
    <definedName name="H_extra_noturna_prevista_var_man_mês" localSheetId="5">#REF!</definedName>
    <definedName name="H_extra_noturna_prevista_var_man_mês" localSheetId="6">#REF!</definedName>
    <definedName name="H_extra_noturna_prevista_var_man_mês" localSheetId="14">#REF!</definedName>
    <definedName name="H_extra_noturna_prevista_var_man_mês">#REF!</definedName>
    <definedName name="HORAS_MENSAIS" localSheetId="5">#REF!</definedName>
    <definedName name="HORAS_MENSAIS" localSheetId="6">#REF!</definedName>
    <definedName name="HORAS_MENSAIS" localSheetId="14">#REF!</definedName>
    <definedName name="HORAS_MENSAIS">#REF!</definedName>
    <definedName name="Horas_noturnas_cap_mec" localSheetId="5">#REF!</definedName>
    <definedName name="Horas_noturnas_cap_mec" localSheetId="6">#REF!</definedName>
    <definedName name="Horas_noturnas_cap_mec" localSheetId="14">#REF!</definedName>
    <definedName name="Horas_noturnas_cap_mec">#REF!</definedName>
    <definedName name="Horas_noturnas_col_hos" localSheetId="5">#REF!</definedName>
    <definedName name="Horas_noturnas_col_hos" localSheetId="6">#REF!</definedName>
    <definedName name="Horas_noturnas_col_hos" localSheetId="14">#REF!</definedName>
    <definedName name="Horas_noturnas_col_hos">#REF!</definedName>
    <definedName name="Horas_noturnas_coleta_seletiva" localSheetId="5">#REF!</definedName>
    <definedName name="Horas_noturnas_coleta_seletiva" localSheetId="6">#REF!</definedName>
    <definedName name="Horas_noturnas_coleta_seletiva" localSheetId="14">#REF!</definedName>
    <definedName name="Horas_noturnas_coleta_seletiva">#REF!</definedName>
    <definedName name="Horas_noturnas_eq_padrão" localSheetId="5">#REF!</definedName>
    <definedName name="Horas_noturnas_eq_padrão" localSheetId="6">#REF!</definedName>
    <definedName name="Horas_noturnas_eq_padrão" localSheetId="14">#REF!</definedName>
    <definedName name="Horas_noturnas_eq_padrão">#REF!</definedName>
    <definedName name="Horas_noturnas_lav_vias" localSheetId="5">#REF!</definedName>
    <definedName name="Horas_noturnas_lav_vias" localSheetId="6">#REF!</definedName>
    <definedName name="Horas_noturnas_lav_vias" localSheetId="14">#REF!</definedName>
    <definedName name="Horas_noturnas_lav_vias">#REF!</definedName>
    <definedName name="Horas_noturnas_lim_mercado" localSheetId="5">#REF!</definedName>
    <definedName name="Horas_noturnas_lim_mercado" localSheetId="6">#REF!</definedName>
    <definedName name="Horas_noturnas_lim_mercado" localSheetId="14">#REF!</definedName>
    <definedName name="Horas_noturnas_lim_mercado">#REF!</definedName>
    <definedName name="Horas_noturnas_loc_cam_bas" localSheetId="5">#REF!</definedName>
    <definedName name="Horas_noturnas_loc_cam_bas" localSheetId="6">#REF!</definedName>
    <definedName name="Horas_noturnas_loc_cam_bas" localSheetId="14">#REF!</definedName>
    <definedName name="Horas_noturnas_loc_cam_bas">#REF!</definedName>
    <definedName name="Horas_noturnas_loc_pá" localSheetId="5">#REF!</definedName>
    <definedName name="Horas_noturnas_loc_pá" localSheetId="6">#REF!</definedName>
    <definedName name="Horas_noturnas_loc_pá" localSheetId="14">#REF!</definedName>
    <definedName name="Horas_noturnas_loc_pá">#REF!</definedName>
    <definedName name="Horas_noturnas_loc_trator" localSheetId="5">#REF!</definedName>
    <definedName name="Horas_noturnas_loc_trator" localSheetId="6">#REF!</definedName>
    <definedName name="Horas_noturnas_loc_trator" localSheetId="14">#REF!</definedName>
    <definedName name="Horas_noturnas_loc_trator">#REF!</definedName>
    <definedName name="Horas_noturnas_op_aterro" localSheetId="5">#REF!</definedName>
    <definedName name="Horas_noturnas_op_aterro" localSheetId="6">#REF!</definedName>
    <definedName name="Horas_noturnas_op_aterro" localSheetId="14">#REF!</definedName>
    <definedName name="Horas_noturnas_op_aterro">#REF!</definedName>
    <definedName name="Horas_noturnas_trat_RSSS" localSheetId="5">#REF!</definedName>
    <definedName name="Horas_noturnas_trat_RSSS" localSheetId="6">#REF!</definedName>
    <definedName name="Horas_noturnas_trat_RSSS" localSheetId="14">#REF!</definedName>
    <definedName name="Horas_noturnas_trat_RSSS">#REF!</definedName>
    <definedName name="Horas_noturnas_usi_compostagem" localSheetId="5">#REF!</definedName>
    <definedName name="Horas_noturnas_usi_compostagem" localSheetId="6">#REF!</definedName>
    <definedName name="Horas_noturnas_usi_compostagem" localSheetId="14">#REF!</definedName>
    <definedName name="Horas_noturnas_usi_compostagem">#REF!</definedName>
    <definedName name="Horas_noturnas_varrição" localSheetId="5">#REF!</definedName>
    <definedName name="Horas_noturnas_varrição" localSheetId="6">#REF!</definedName>
    <definedName name="Horas_noturnas_varrição" localSheetId="14">#REF!</definedName>
    <definedName name="Horas_noturnas_varrição">#REF!</definedName>
    <definedName name="HosCapa" localSheetId="5">#REF!</definedName>
    <definedName name="HosCapa" localSheetId="6">#REF!</definedName>
    <definedName name="HosCapa" localSheetId="14">#REF!</definedName>
    <definedName name="HosCapa">#REF!</definedName>
    <definedName name="HosDetalhes" localSheetId="5">#REF!</definedName>
    <definedName name="HosDetalhes" localSheetId="6">#REF!</definedName>
    <definedName name="HosDetalhes" localSheetId="14">#REF!</definedName>
    <definedName name="HosDetalhes">#REF!</definedName>
    <definedName name="IndCapa" localSheetId="5">#REF!</definedName>
    <definedName name="IndCapa" localSheetId="6">#REF!</definedName>
    <definedName name="IndCapa" localSheetId="14">#REF!</definedName>
    <definedName name="IndCapa">#REF!</definedName>
    <definedName name="IndDetalhes" localSheetId="5">#REF!</definedName>
    <definedName name="IndDetalhes" localSheetId="6">#REF!</definedName>
    <definedName name="IndDetalhes" localSheetId="14">#REF!</definedName>
    <definedName name="IndDetalhes">#REF!</definedName>
    <definedName name="Início_tur_not_col_sel" localSheetId="5">#REF!</definedName>
    <definedName name="Início_tur_not_col_sel" localSheetId="6">#REF!</definedName>
    <definedName name="Início_tur_not_col_sel" localSheetId="14">#REF!</definedName>
    <definedName name="Início_tur_not_col_sel">#REF!</definedName>
    <definedName name="Insalub_Grau_Máx" localSheetId="5">#REF!</definedName>
    <definedName name="Insalub_Grau_Máx" localSheetId="6">#REF!</definedName>
    <definedName name="Insalub_Grau_Máx" localSheetId="14">#REF!</definedName>
    <definedName name="Insalub_Grau_Máx">#REF!</definedName>
    <definedName name="Insalub_Grau_Méd" localSheetId="5">#REF!</definedName>
    <definedName name="Insalub_Grau_Méd" localSheetId="6">#REF!</definedName>
    <definedName name="Insalub_Grau_Méd" localSheetId="14">#REF!</definedName>
    <definedName name="Insalub_Grau_Méd">#REF!</definedName>
    <definedName name="Insalub_Grau_Mín" localSheetId="5">#REF!</definedName>
    <definedName name="Insalub_Grau_Mín" localSheetId="6">#REF!</definedName>
    <definedName name="Insalub_Grau_Mín" localSheetId="14">#REF!</definedName>
    <definedName name="Insalub_Grau_Mín">#REF!</definedName>
    <definedName name="Lav" localSheetId="5">#REF!</definedName>
    <definedName name="Lav" localSheetId="6">#REF!</definedName>
    <definedName name="Lav" localSheetId="14">#REF!</definedName>
    <definedName name="Lav">#REF!</definedName>
    <definedName name="Mec" localSheetId="5">#REF!</definedName>
    <definedName name="Mec" localSheetId="6">#REF!</definedName>
    <definedName name="Mec" localSheetId="14">#REF!</definedName>
    <definedName name="Mec">#REF!</definedName>
    <definedName name="MecP" localSheetId="5">#REF!</definedName>
    <definedName name="MecP" localSheetId="6">#REF!</definedName>
    <definedName name="MecP" localSheetId="14">#REF!</definedName>
    <definedName name="MecP">#REF!</definedName>
    <definedName name="MObr" localSheetId="5">#REF!</definedName>
    <definedName name="MObr" localSheetId="6">#REF!</definedName>
    <definedName name="MObr" localSheetId="14">#REF!</definedName>
    <definedName name="MObr">#REF!</definedName>
    <definedName name="Motorista_diu_cap_mec" localSheetId="5">#REF!</definedName>
    <definedName name="Motorista_diu_cap_mec" localSheetId="6">#REF!</definedName>
    <definedName name="Motorista_diu_cap_mec" localSheetId="14">#REF!</definedName>
    <definedName name="Motorista_diu_cap_mec">#REF!</definedName>
    <definedName name="Motorista_diu_cap_mec_res" localSheetId="5">#REF!</definedName>
    <definedName name="Motorista_diu_cap_mec_res" localSheetId="6">#REF!</definedName>
    <definedName name="Motorista_diu_cap_mec_res" localSheetId="14">#REF!</definedName>
    <definedName name="Motorista_diu_cap_mec_res">#REF!</definedName>
    <definedName name="Motorista_diu_col_hosp" localSheetId="5">#REF!</definedName>
    <definedName name="Motorista_diu_col_hosp" localSheetId="6">#REF!</definedName>
    <definedName name="Motorista_diu_col_hosp" localSheetId="14">#REF!</definedName>
    <definedName name="Motorista_diu_col_hosp">#REF!</definedName>
    <definedName name="Motorista_diu_col_hosp_res" localSheetId="5">#REF!</definedName>
    <definedName name="Motorista_diu_col_hosp_res" localSheetId="6">#REF!</definedName>
    <definedName name="Motorista_diu_col_hosp_res" localSheetId="14">#REF!</definedName>
    <definedName name="Motorista_diu_col_hosp_res">#REF!</definedName>
    <definedName name="Motorista_diu_col_sel" localSheetId="5">#REF!</definedName>
    <definedName name="Motorista_diu_col_sel" localSheetId="6">#REF!</definedName>
    <definedName name="Motorista_diu_col_sel" localSheetId="14">#REF!</definedName>
    <definedName name="Motorista_diu_col_sel">#REF!</definedName>
    <definedName name="Motorista_diu_eq_padrão" localSheetId="5">#REF!</definedName>
    <definedName name="Motorista_diu_eq_padrão" localSheetId="6">#REF!</definedName>
    <definedName name="Motorista_diu_eq_padrão" localSheetId="14">#REF!</definedName>
    <definedName name="Motorista_diu_eq_padrão">#REF!</definedName>
    <definedName name="Motorista_diu_eq_padrão_res" localSheetId="5">#REF!</definedName>
    <definedName name="Motorista_diu_eq_padrão_res" localSheetId="6">#REF!</definedName>
    <definedName name="Motorista_diu_eq_padrão_res" localSheetId="14">#REF!</definedName>
    <definedName name="Motorista_diu_eq_padrão_res">#REF!</definedName>
    <definedName name="Motorista_diu_lav_vias" localSheetId="5">#REF!</definedName>
    <definedName name="Motorista_diu_lav_vias" localSheetId="6">#REF!</definedName>
    <definedName name="Motorista_diu_lav_vias" localSheetId="14">#REF!</definedName>
    <definedName name="Motorista_diu_lav_vias">#REF!</definedName>
    <definedName name="Motorista_diu_lav_vias_res" localSheetId="5">#REF!</definedName>
    <definedName name="Motorista_diu_lav_vias_res" localSheetId="6">#REF!</definedName>
    <definedName name="Motorista_diu_lav_vias_res" localSheetId="14">#REF!</definedName>
    <definedName name="Motorista_diu_lav_vias_res">#REF!</definedName>
    <definedName name="Motorista_diu_loc_cam_bas" localSheetId="5">#REF!</definedName>
    <definedName name="Motorista_diu_loc_cam_bas" localSheetId="6">#REF!</definedName>
    <definedName name="Motorista_diu_loc_cam_bas" localSheetId="14">#REF!</definedName>
    <definedName name="Motorista_diu_loc_cam_bas">#REF!</definedName>
    <definedName name="Motorista_diu_loc_cam_bas_res" localSheetId="5">#REF!</definedName>
    <definedName name="Motorista_diu_loc_cam_bas_res" localSheetId="6">#REF!</definedName>
    <definedName name="Motorista_diu_loc_cam_bas_res" localSheetId="14">#REF!</definedName>
    <definedName name="Motorista_diu_loc_cam_bas_res">#REF!</definedName>
    <definedName name="Motorista_diu_op_aterro" localSheetId="5">#REF!</definedName>
    <definedName name="Motorista_diu_op_aterro" localSheetId="6">#REF!</definedName>
    <definedName name="Motorista_diu_op_aterro" localSheetId="14">#REF!</definedName>
    <definedName name="Motorista_diu_op_aterro">#REF!</definedName>
    <definedName name="Motorista_diu_op_aterro_res" localSheetId="5">#REF!</definedName>
    <definedName name="Motorista_diu_op_aterro_res" localSheetId="6">#REF!</definedName>
    <definedName name="Motorista_diu_op_aterro_res" localSheetId="14">#REF!</definedName>
    <definedName name="Motorista_diu_op_aterro_res">#REF!</definedName>
    <definedName name="Motorista_not_cap_mec" localSheetId="5">#REF!</definedName>
    <definedName name="Motorista_not_cap_mec" localSheetId="6">#REF!</definedName>
    <definedName name="Motorista_not_cap_mec" localSheetId="14">#REF!</definedName>
    <definedName name="Motorista_not_cap_mec">#REF!</definedName>
    <definedName name="Motorista_not_cap_mec_res" localSheetId="5">#REF!</definedName>
    <definedName name="Motorista_not_cap_mec_res" localSheetId="6">#REF!</definedName>
    <definedName name="Motorista_not_cap_mec_res" localSheetId="14">#REF!</definedName>
    <definedName name="Motorista_not_cap_mec_res">#REF!</definedName>
    <definedName name="Motorista_not_col_hosp" localSheetId="5">#REF!</definedName>
    <definedName name="Motorista_not_col_hosp" localSheetId="6">#REF!</definedName>
    <definedName name="Motorista_not_col_hosp" localSheetId="14">#REF!</definedName>
    <definedName name="Motorista_not_col_hosp">#REF!</definedName>
    <definedName name="Motorista_not_col_hosp_res" localSheetId="5">#REF!</definedName>
    <definedName name="Motorista_not_col_hosp_res" localSheetId="6">#REF!</definedName>
    <definedName name="Motorista_not_col_hosp_res" localSheetId="14">#REF!</definedName>
    <definedName name="Motorista_not_col_hosp_res">#REF!</definedName>
    <definedName name="Motorista_not_col_sel" localSheetId="5">#REF!</definedName>
    <definedName name="Motorista_not_col_sel" localSheetId="6">#REF!</definedName>
    <definedName name="Motorista_not_col_sel" localSheetId="14">#REF!</definedName>
    <definedName name="Motorista_not_col_sel">#REF!</definedName>
    <definedName name="Motorista_not_col_sel_res" localSheetId="5">#REF!</definedName>
    <definedName name="Motorista_not_col_sel_res" localSheetId="6">#REF!</definedName>
    <definedName name="Motorista_not_col_sel_res" localSheetId="14">#REF!</definedName>
    <definedName name="Motorista_not_col_sel_res">#REF!</definedName>
    <definedName name="Motorista_not_eq_padrão" localSheetId="5">#REF!</definedName>
    <definedName name="Motorista_not_eq_padrão" localSheetId="6">#REF!</definedName>
    <definedName name="Motorista_not_eq_padrão" localSheetId="14">#REF!</definedName>
    <definedName name="Motorista_not_eq_padrão">#REF!</definedName>
    <definedName name="Motorista_not_eq_padrão_res" localSheetId="5">#REF!</definedName>
    <definedName name="Motorista_not_eq_padrão_res" localSheetId="6">#REF!</definedName>
    <definedName name="Motorista_not_eq_padrão_res" localSheetId="14">#REF!</definedName>
    <definedName name="Motorista_not_eq_padrão_res">#REF!</definedName>
    <definedName name="Motorista_not_lav_vias" localSheetId="5">#REF!</definedName>
    <definedName name="Motorista_not_lav_vias" localSheetId="6">#REF!</definedName>
    <definedName name="Motorista_not_lav_vias" localSheetId="14">#REF!</definedName>
    <definedName name="Motorista_not_lav_vias">#REF!</definedName>
    <definedName name="Motorista_not_lav_vias_res" localSheetId="5">#REF!</definedName>
    <definedName name="Motorista_not_lav_vias_res" localSheetId="6">#REF!</definedName>
    <definedName name="Motorista_not_lav_vias_res" localSheetId="14">#REF!</definedName>
    <definedName name="Motorista_not_lav_vias_res">#REF!</definedName>
    <definedName name="Motorista_not_loc_cam_bas" localSheetId="5">#REF!</definedName>
    <definedName name="Motorista_not_loc_cam_bas" localSheetId="6">#REF!</definedName>
    <definedName name="Motorista_not_loc_cam_bas" localSheetId="14">#REF!</definedName>
    <definedName name="Motorista_not_loc_cam_bas">#REF!</definedName>
    <definedName name="Motorista_not_loc_cam_bas_res" localSheetId="5">#REF!</definedName>
    <definedName name="Motorista_not_loc_cam_bas_res" localSheetId="6">#REF!</definedName>
    <definedName name="Motorista_not_loc_cam_bas_res" localSheetId="14">#REF!</definedName>
    <definedName name="Motorista_not_loc_cam_bas_res">#REF!</definedName>
    <definedName name="Motorista_not_op_aterro" localSheetId="5">#REF!</definedName>
    <definedName name="Motorista_not_op_aterro" localSheetId="6">#REF!</definedName>
    <definedName name="Motorista_not_op_aterro" localSheetId="14">#REF!</definedName>
    <definedName name="Motorista_not_op_aterro">#REF!</definedName>
    <definedName name="Motorista_not_op_aterro_res" localSheetId="5">#REF!</definedName>
    <definedName name="Motorista_not_op_aterro_res" localSheetId="6">#REF!</definedName>
    <definedName name="Motorista_not_op_aterro_res" localSheetId="14">#REF!</definedName>
    <definedName name="Motorista_not_op_aterro_res">#REF!</definedName>
    <definedName name="Motorita_diu_col_sel_res" localSheetId="5">#REF!</definedName>
    <definedName name="Motorita_diu_col_sel_res" localSheetId="6">#REF!</definedName>
    <definedName name="Motorita_diu_col_sel_res" localSheetId="14">#REF!</definedName>
    <definedName name="Motorita_diu_col_sel_res">#REF!</definedName>
    <definedName name="Munk" localSheetId="5">#REF!</definedName>
    <definedName name="Munk" localSheetId="6">#REF!</definedName>
    <definedName name="Munk" localSheetId="14">#REF!</definedName>
    <definedName name="Munk">#REF!</definedName>
    <definedName name="n_de_feriados" localSheetId="5">#REF!</definedName>
    <definedName name="n_de_feriados" localSheetId="6">#REF!</definedName>
    <definedName name="n_de_feriados" localSheetId="14">#REF!</definedName>
    <definedName name="n_de_feriados">#REF!</definedName>
    <definedName name="n_de_meses_no_ano" localSheetId="5">#REF!</definedName>
    <definedName name="n_de_meses_no_ano" localSheetId="6">#REF!</definedName>
    <definedName name="n_de_meses_no_ano" localSheetId="14">#REF!</definedName>
    <definedName name="n_de_meses_no_ano">#REF!</definedName>
    <definedName name="N_de_passagens" localSheetId="5">#REF!</definedName>
    <definedName name="N_de_passagens" localSheetId="6">#REF!</definedName>
    <definedName name="N_de_passagens" localSheetId="14">#REF!</definedName>
    <definedName name="N_de_passagens">#REF!</definedName>
    <definedName name="n_horas_diárias" localSheetId="5">#REF!</definedName>
    <definedName name="n_horas_diárias" localSheetId="6">#REF!</definedName>
    <definedName name="n_horas_diárias" localSheetId="14">#REF!</definedName>
    <definedName name="n_horas_diárias">#REF!</definedName>
    <definedName name="Op_balança_diu_op_aterro" localSheetId="5">#REF!</definedName>
    <definedName name="Op_balança_diu_op_aterro" localSheetId="6">#REF!</definedName>
    <definedName name="Op_balança_diu_op_aterro" localSheetId="14">#REF!</definedName>
    <definedName name="Op_balança_diu_op_aterro">#REF!</definedName>
    <definedName name="Op_balança_diu_op_aterro_res" localSheetId="5">#REF!</definedName>
    <definedName name="Op_balança_diu_op_aterro_res" localSheetId="6">#REF!</definedName>
    <definedName name="Op_balança_diu_op_aterro_res" localSheetId="14">#REF!</definedName>
    <definedName name="Op_balança_diu_op_aterro_res">#REF!</definedName>
    <definedName name="Op_balança_not_op_aterro" localSheetId="5">#REF!</definedName>
    <definedName name="Op_balança_not_op_aterro" localSheetId="6">#REF!</definedName>
    <definedName name="Op_balança_not_op_aterro" localSheetId="14">#REF!</definedName>
    <definedName name="Op_balança_not_op_aterro">#REF!</definedName>
    <definedName name="Op_balança_not_op_aterro_res" localSheetId="5">#REF!</definedName>
    <definedName name="Op_balança_not_op_aterro_res" localSheetId="6">#REF!</definedName>
    <definedName name="Op_balança_not_op_aterro_res" localSheetId="14">#REF!</definedName>
    <definedName name="Op_balança_not_op_aterro_res">#REF!</definedName>
    <definedName name="Op_diu_usi_rec_comp" localSheetId="5">#REF!</definedName>
    <definedName name="Op_diu_usi_rec_comp" localSheetId="6">#REF!</definedName>
    <definedName name="Op_diu_usi_rec_comp" localSheetId="14">#REF!</definedName>
    <definedName name="Op_diu_usi_rec_comp">#REF!</definedName>
    <definedName name="Op_diu_usi_rec_comp_res" localSheetId="5">#REF!</definedName>
    <definedName name="Op_diu_usi_rec_comp_res" localSheetId="6">#REF!</definedName>
    <definedName name="Op_diu_usi_rec_comp_res" localSheetId="14">#REF!</definedName>
    <definedName name="Op_diu_usi_rec_comp_res">#REF!</definedName>
    <definedName name="Op_diu_usi_tra_RSSS" localSheetId="5">#REF!</definedName>
    <definedName name="Op_diu_usi_tra_RSSS" localSheetId="6">#REF!</definedName>
    <definedName name="Op_diu_usi_tra_RSSS" localSheetId="14">#REF!</definedName>
    <definedName name="Op_diu_usi_tra_RSSS">#REF!</definedName>
    <definedName name="Op_diu_usi_tra_RSSS_res" localSheetId="5">#REF!</definedName>
    <definedName name="Op_diu_usi_tra_RSSS_res" localSheetId="6">#REF!</definedName>
    <definedName name="Op_diu_usi_tra_RSSS_res" localSheetId="14">#REF!</definedName>
    <definedName name="Op_diu_usi_tra_RSSS_res">#REF!</definedName>
    <definedName name="Op_maq_diu_cap_mec" localSheetId="5">#REF!</definedName>
    <definedName name="Op_maq_diu_cap_mec" localSheetId="6">#REF!</definedName>
    <definedName name="Op_maq_diu_cap_mec" localSheetId="14">#REF!</definedName>
    <definedName name="Op_maq_diu_cap_mec">#REF!</definedName>
    <definedName name="Op_maq_diu_cap_mec_res" localSheetId="5">#REF!</definedName>
    <definedName name="Op_maq_diu_cap_mec_res" localSheetId="6">#REF!</definedName>
    <definedName name="Op_maq_diu_cap_mec_res" localSheetId="14">#REF!</definedName>
    <definedName name="Op_maq_diu_cap_mec_res">#REF!</definedName>
    <definedName name="Op_máq_diu_op_aterro" localSheetId="5">#REF!</definedName>
    <definedName name="Op_máq_diu_op_aterro" localSheetId="6">#REF!</definedName>
    <definedName name="Op_máq_diu_op_aterro" localSheetId="14">#REF!</definedName>
    <definedName name="Op_máq_diu_op_aterro">#REF!</definedName>
    <definedName name="Op_máq_diu_op_aterro_res" localSheetId="5">#REF!</definedName>
    <definedName name="Op_máq_diu_op_aterro_res" localSheetId="6">#REF!</definedName>
    <definedName name="Op_máq_diu_op_aterro_res" localSheetId="14">#REF!</definedName>
    <definedName name="Op_máq_diu_op_aterro_res">#REF!</definedName>
    <definedName name="Op_maq_not_cap_mec" localSheetId="5">#REF!</definedName>
    <definedName name="Op_maq_not_cap_mec" localSheetId="6">#REF!</definedName>
    <definedName name="Op_maq_not_cap_mec" localSheetId="14">#REF!</definedName>
    <definedName name="Op_maq_not_cap_mec">#REF!</definedName>
    <definedName name="Op_maq_not_cap_mec_res" localSheetId="5">#REF!</definedName>
    <definedName name="Op_maq_not_cap_mec_res" localSheetId="6">#REF!</definedName>
    <definedName name="Op_maq_not_cap_mec_res" localSheetId="14">#REF!</definedName>
    <definedName name="Op_maq_not_cap_mec_res">#REF!</definedName>
    <definedName name="Op_máq_not_op_aterro" localSheetId="5">#REF!</definedName>
    <definedName name="Op_máq_not_op_aterro" localSheetId="6">#REF!</definedName>
    <definedName name="Op_máq_not_op_aterro" localSheetId="14">#REF!</definedName>
    <definedName name="Op_máq_not_op_aterro">#REF!</definedName>
    <definedName name="Op_máq_not_op_aterro_res" localSheetId="5">#REF!</definedName>
    <definedName name="Op_máq_not_op_aterro_res" localSheetId="6">#REF!</definedName>
    <definedName name="Op_máq_not_op_aterro_res" localSheetId="14">#REF!</definedName>
    <definedName name="Op_máq_not_op_aterro_res">#REF!</definedName>
    <definedName name="Op_not_usi_rec_comp" localSheetId="5">#REF!</definedName>
    <definedName name="Op_not_usi_rec_comp" localSheetId="6">#REF!</definedName>
    <definedName name="Op_not_usi_rec_comp" localSheetId="14">#REF!</definedName>
    <definedName name="Op_not_usi_rec_comp">#REF!</definedName>
    <definedName name="Op_not_usi_rec_comp_res" localSheetId="5">#REF!</definedName>
    <definedName name="Op_not_usi_rec_comp_res" localSheetId="6">#REF!</definedName>
    <definedName name="Op_not_usi_rec_comp_res" localSheetId="14">#REF!</definedName>
    <definedName name="Op_not_usi_rec_comp_res">#REF!</definedName>
    <definedName name="Op_not_usi_tra_RSSS" localSheetId="5">#REF!</definedName>
    <definedName name="Op_not_usi_tra_RSSS" localSheetId="6">#REF!</definedName>
    <definedName name="Op_not_usi_tra_RSSS" localSheetId="14">#REF!</definedName>
    <definedName name="Op_not_usi_tra_RSSS">#REF!</definedName>
    <definedName name="Op_not_usi_tra_RSSS_res" localSheetId="5">#REF!</definedName>
    <definedName name="Op_not_usi_tra_RSSS_res" localSheetId="6">#REF!</definedName>
    <definedName name="Op_not_usi_tra_RSSS_res" localSheetId="14">#REF!</definedName>
    <definedName name="Op_not_usi_tra_RSSS_res">#REF!</definedName>
    <definedName name="Op_pá_diu_eq_padrão" localSheetId="5">#REF!</definedName>
    <definedName name="Op_pá_diu_eq_padrão" localSheetId="6">#REF!</definedName>
    <definedName name="Op_pá_diu_eq_padrão" localSheetId="14">#REF!</definedName>
    <definedName name="Op_pá_diu_eq_padrão">#REF!</definedName>
    <definedName name="Op_pá_diu_eq_padrão_res" localSheetId="5">#REF!</definedName>
    <definedName name="Op_pá_diu_eq_padrão_res" localSheetId="6">#REF!</definedName>
    <definedName name="Op_pá_diu_eq_padrão_res" localSheetId="14">#REF!</definedName>
    <definedName name="Op_pá_diu_eq_padrão_res">#REF!</definedName>
    <definedName name="Op_pá_diu_loc_pá" localSheetId="5">#REF!</definedName>
    <definedName name="Op_pá_diu_loc_pá" localSheetId="6">#REF!</definedName>
    <definedName name="Op_pá_diu_loc_pá" localSheetId="14">#REF!</definedName>
    <definedName name="Op_pá_diu_loc_pá">#REF!</definedName>
    <definedName name="Op_pá_diu_loc_pá_res" localSheetId="5">#REF!</definedName>
    <definedName name="Op_pá_diu_loc_pá_res" localSheetId="6">#REF!</definedName>
    <definedName name="Op_pá_diu_loc_pá_res" localSheetId="14">#REF!</definedName>
    <definedName name="Op_pá_diu_loc_pá_res">#REF!</definedName>
    <definedName name="Op_pá_not_eq_padrão" localSheetId="5">#REF!</definedName>
    <definedName name="Op_pá_not_eq_padrão" localSheetId="6">#REF!</definedName>
    <definedName name="Op_pá_not_eq_padrão" localSheetId="14">#REF!</definedName>
    <definedName name="Op_pá_not_eq_padrão">#REF!</definedName>
    <definedName name="Op_pá_not_eq_padrão_res" localSheetId="5">#REF!</definedName>
    <definedName name="Op_pá_not_eq_padrão_res" localSheetId="6">#REF!</definedName>
    <definedName name="Op_pá_not_eq_padrão_res" localSheetId="14">#REF!</definedName>
    <definedName name="Op_pá_not_eq_padrão_res">#REF!</definedName>
    <definedName name="Op_pá_not_loc_pá" localSheetId="5">#REF!</definedName>
    <definedName name="Op_pá_not_loc_pá" localSheetId="6">#REF!</definedName>
    <definedName name="Op_pá_not_loc_pá" localSheetId="14">#REF!</definedName>
    <definedName name="Op_pá_not_loc_pá">#REF!</definedName>
    <definedName name="Op_pá_not_loc_pá_res" localSheetId="5">#REF!</definedName>
    <definedName name="Op_pá_not_loc_pá_res" localSheetId="6">#REF!</definedName>
    <definedName name="Op_pá_not_loc_pá_res" localSheetId="14">#REF!</definedName>
    <definedName name="Op_pá_not_loc_pá_res">#REF!</definedName>
    <definedName name="Op_roç_diu_eq_padrão" localSheetId="5">#REF!</definedName>
    <definedName name="Op_roç_diu_eq_padrão" localSheetId="6">#REF!</definedName>
    <definedName name="Op_roç_diu_eq_padrão" localSheetId="14">#REF!</definedName>
    <definedName name="Op_roç_diu_eq_padrão">#REF!</definedName>
    <definedName name="Op_roç_diu_eq_padrão_res" localSheetId="5">#REF!</definedName>
    <definedName name="Op_roç_diu_eq_padrão_res" localSheetId="6">#REF!</definedName>
    <definedName name="Op_roç_diu_eq_padrão_res" localSheetId="14">#REF!</definedName>
    <definedName name="Op_roç_diu_eq_padrão_res">#REF!</definedName>
    <definedName name="Op_roç_not_eq_padrão" localSheetId="5">#REF!</definedName>
    <definedName name="Op_roç_not_eq_padrão" localSheetId="6">#REF!</definedName>
    <definedName name="Op_roç_not_eq_padrão" localSheetId="14">#REF!</definedName>
    <definedName name="Op_roç_not_eq_padrão">#REF!</definedName>
    <definedName name="Op_roç_not_eq_padrão_res" localSheetId="5">#REF!</definedName>
    <definedName name="Op_roç_not_eq_padrão_res" localSheetId="6">#REF!</definedName>
    <definedName name="Op_roç_not_eq_padrão_res" localSheetId="14">#REF!</definedName>
    <definedName name="Op_roç_not_eq_padrão_res">#REF!</definedName>
    <definedName name="Orç" localSheetId="5">#REF!</definedName>
    <definedName name="Orç" localSheetId="6">#REF!</definedName>
    <definedName name="Orç" localSheetId="14">#REF!</definedName>
    <definedName name="Orç">#REF!</definedName>
    <definedName name="Orç1" localSheetId="5">#REF!</definedName>
    <definedName name="Orç1" localSheetId="6">#REF!</definedName>
    <definedName name="Orç1" localSheetId="14">#REF!</definedName>
    <definedName name="Orç1">#REF!</definedName>
    <definedName name="ORCAMENTO" localSheetId="5">#REF!</definedName>
    <definedName name="ORCAMENTO" localSheetId="6">#REF!</definedName>
    <definedName name="ORCAMENTO" localSheetId="14">#REF!</definedName>
    <definedName name="ORCAMENTO">#REF!</definedName>
    <definedName name="PaCar" localSheetId="5">#REF!</definedName>
    <definedName name="PaCar" localSheetId="6">#REF!</definedName>
    <definedName name="PaCar" localSheetId="14">#REF!</definedName>
    <definedName name="PaCar">#REF!</definedName>
    <definedName name="Pin" localSheetId="5">#REF!</definedName>
    <definedName name="Pin" localSheetId="6">#REF!</definedName>
    <definedName name="Pin" localSheetId="14">#REF!</definedName>
    <definedName name="Pin">#REF!</definedName>
    <definedName name="Planilha" localSheetId="5">#REF!</definedName>
    <definedName name="Planilha" localSheetId="6">#REF!</definedName>
    <definedName name="Planilha" localSheetId="14">#REF!</definedName>
    <definedName name="Planilha">#REF!</definedName>
    <definedName name="PodaCapa" localSheetId="5">#REF!</definedName>
    <definedName name="PodaCapa" localSheetId="6">#REF!</definedName>
    <definedName name="PodaCapa" localSheetId="14">#REF!</definedName>
    <definedName name="PodaCapa">#REF!</definedName>
    <definedName name="PodaDetalhes" localSheetId="5">#REF!</definedName>
    <definedName name="PodaDetalhes" localSheetId="6">#REF!</definedName>
    <definedName name="PodaDetalhes" localSheetId="14">#REF!</definedName>
    <definedName name="PodaDetalhes">#REF!</definedName>
    <definedName name="ReciclCapa" localSheetId="5">#REF!</definedName>
    <definedName name="ReciclCapa" localSheetId="6">#REF!</definedName>
    <definedName name="ReciclCapa" localSheetId="14">#REF!</definedName>
    <definedName name="ReciclCapa">#REF!</definedName>
    <definedName name="ReciclDetalhes" localSheetId="5">#REF!</definedName>
    <definedName name="ReciclDetalhes" localSheetId="6">#REF!</definedName>
    <definedName name="ReciclDetalhes" localSheetId="14">#REF!</definedName>
    <definedName name="ReciclDetalhes">#REF!</definedName>
    <definedName name="RESULTADOS" localSheetId="5">#REF!</definedName>
    <definedName name="RESULTADOS" localSheetId="6">#REF!</definedName>
    <definedName name="RESULTADOS" localSheetId="14">#REF!</definedName>
    <definedName name="RESULTADOS">#REF!</definedName>
    <definedName name="Retr" localSheetId="5">#REF!</definedName>
    <definedName name="Retr" localSheetId="6">#REF!</definedName>
    <definedName name="Retr" localSheetId="14">#REF!</definedName>
    <definedName name="Retr">#REF!</definedName>
    <definedName name="Roc" localSheetId="5">#REF!</definedName>
    <definedName name="Roc" localSheetId="6">#REF!</definedName>
    <definedName name="Roc" localSheetId="14">#REF!</definedName>
    <definedName name="Roc">#REF!</definedName>
    <definedName name="Roçada" localSheetId="5" hidden="1">#REF!</definedName>
    <definedName name="Roçada" localSheetId="6" hidden="1">#REF!</definedName>
    <definedName name="Roçada" localSheetId="14" hidden="1">#REF!</definedName>
    <definedName name="Roçada" hidden="1">#REF!</definedName>
    <definedName name="Salário_coletor_dom" localSheetId="5">#REF!</definedName>
    <definedName name="Salário_coletor_dom" localSheetId="6">#REF!</definedName>
    <definedName name="Salário_coletor_dom" localSheetId="14">#REF!</definedName>
    <definedName name="Salário_coletor_dom">#REF!</definedName>
    <definedName name="Salário_Mín" localSheetId="5">#REF!</definedName>
    <definedName name="Salário_Mín" localSheetId="6">#REF!</definedName>
    <definedName name="Salário_Mín" localSheetId="14">#REF!</definedName>
    <definedName name="Salário_Mín">#REF!</definedName>
    <definedName name="Seguro_vida" localSheetId="5">#REF!</definedName>
    <definedName name="Seguro_vida" localSheetId="6">#REF!</definedName>
    <definedName name="Seguro_vida" localSheetId="14">#REF!</definedName>
    <definedName name="Seguro_vida">#REF!</definedName>
    <definedName name="SeptCapa" localSheetId="5">#REF!</definedName>
    <definedName name="SeptCapa" localSheetId="6">#REF!</definedName>
    <definedName name="SeptCapa" localSheetId="14">#REF!</definedName>
    <definedName name="SeptCapa">#REF!</definedName>
    <definedName name="SeptDetalhes" localSheetId="5">#REF!</definedName>
    <definedName name="SeptDetalhes" localSheetId="6">#REF!</definedName>
    <definedName name="SeptDetalhes" localSheetId="14">#REF!</definedName>
    <definedName name="SeptDetalhes">#REF!</definedName>
    <definedName name="TABELAORGAO">[2]TABELAORGAO!$A$3:$F$132</definedName>
    <definedName name="_xlnm.Print_Titles" localSheetId="4">'1 Coleta Domiciliar'!$1:$8</definedName>
    <definedName name="_xlnm.Print_Titles" localSheetId="5">'2 varrição manual '!$1:$8</definedName>
    <definedName name="_xlnm.Print_Titles" localSheetId="6">'9 Conteiner'!$1:$4</definedName>
    <definedName name="_xlnm.Print_Titles" localSheetId="2">Administração!$1:$8</definedName>
    <definedName name="_xlnm.Print_Titles" localSheetId="3">'Coleta Rural '!$1:$8</definedName>
    <definedName name="_xlnm.Print_Titles" localSheetId="1">Cronograma!$A:$B</definedName>
    <definedName name="_xlnm.Print_Titles" localSheetId="15">EPI!$1:$1</definedName>
    <definedName name="_xlnm.Print_Titles" localSheetId="10">'MÃO DE OBRA'!$1:$1</definedName>
    <definedName name="Trat" localSheetId="5">#REF!</definedName>
    <definedName name="Trat" localSheetId="6">#REF!</definedName>
    <definedName name="Trat" localSheetId="14">#REF!</definedName>
    <definedName name="Trat">#REF!</definedName>
    <definedName name="TratCapa" localSheetId="5">#REF!</definedName>
    <definedName name="TratCapa" localSheetId="6">#REF!</definedName>
    <definedName name="TratCapa" localSheetId="14">#REF!</definedName>
    <definedName name="TratCapa">#REF!</definedName>
    <definedName name="TratDetalhes" localSheetId="5">#REF!</definedName>
    <definedName name="TratDetalhes" localSheetId="6">#REF!</definedName>
    <definedName name="TratDetalhes" localSheetId="14">#REF!</definedName>
    <definedName name="TratDetalhes">#REF!</definedName>
    <definedName name="Tratorista_diu_loc_trator" localSheetId="5">#REF!</definedName>
    <definedName name="Tratorista_diu_loc_trator" localSheetId="6">#REF!</definedName>
    <definedName name="Tratorista_diu_loc_trator" localSheetId="14">#REF!</definedName>
    <definedName name="Tratorista_diu_loc_trator">#REF!</definedName>
    <definedName name="Tratorista_diu_loc_trator_res" localSheetId="5">#REF!</definedName>
    <definedName name="Tratorista_diu_loc_trator_res" localSheetId="6">#REF!</definedName>
    <definedName name="Tratorista_diu_loc_trator_res" localSheetId="14">#REF!</definedName>
    <definedName name="Tratorista_diu_loc_trator_res">#REF!</definedName>
    <definedName name="Tratorista_not_loc_trator" localSheetId="5">#REF!</definedName>
    <definedName name="Tratorista_not_loc_trator" localSheetId="6">#REF!</definedName>
    <definedName name="Tratorista_not_loc_trator" localSheetId="14">#REF!</definedName>
    <definedName name="Tratorista_not_loc_trator">#REF!</definedName>
    <definedName name="Tratorista_not_loc_trator_res" localSheetId="5">#REF!</definedName>
    <definedName name="Tratorista_not_loc_trator_res" localSheetId="6">#REF!</definedName>
    <definedName name="Tratorista_not_loc_trator_res" localSheetId="14">#REF!</definedName>
    <definedName name="Tratorista_not_loc_trator_res">#REF!</definedName>
    <definedName name="Unif" localSheetId="5">#REF!</definedName>
    <definedName name="Unif" localSheetId="6">#REF!</definedName>
    <definedName name="Unif" localSheetId="14">#REF!</definedName>
    <definedName name="Unif">#REF!</definedName>
    <definedName name="Vale_Lanche" localSheetId="5">#REF!</definedName>
    <definedName name="Vale_Lanche" localSheetId="6">#REF!</definedName>
    <definedName name="Vale_Lanche" localSheetId="14">#REF!</definedName>
    <definedName name="Vale_Lanche">#REF!</definedName>
    <definedName name="Vale_Refeição" localSheetId="5">#REF!</definedName>
    <definedName name="Vale_Refeição" localSheetId="6">#REF!</definedName>
    <definedName name="Vale_Refeição" localSheetId="14">#REF!</definedName>
    <definedName name="Vale_Refeição">#REF!</definedName>
    <definedName name="Vale_Transporte" localSheetId="5">#REF!</definedName>
    <definedName name="Vale_Transporte" localSheetId="6">#REF!</definedName>
    <definedName name="Vale_Transporte" localSheetId="14">#REF!</definedName>
    <definedName name="Vale_Transporte">#REF!</definedName>
    <definedName name="Var" localSheetId="5">#REF!</definedName>
    <definedName name="Var" localSheetId="6">#REF!</definedName>
    <definedName name="Var" localSheetId="14">#REF!</definedName>
    <definedName name="Var">#REF!</definedName>
    <definedName name="Varredor_diu_lim_mercado" localSheetId="5">#REF!</definedName>
    <definedName name="Varredor_diu_lim_mercado" localSheetId="6">#REF!</definedName>
    <definedName name="Varredor_diu_lim_mercado" localSheetId="14">#REF!</definedName>
    <definedName name="Varredor_diu_lim_mercado">#REF!</definedName>
    <definedName name="Varredor_diu_lim_mercado_res" localSheetId="5">#REF!</definedName>
    <definedName name="Varredor_diu_lim_mercado_res" localSheetId="6">#REF!</definedName>
    <definedName name="Varredor_diu_lim_mercado_res" localSheetId="14">#REF!</definedName>
    <definedName name="Varredor_diu_lim_mercado_res">#REF!</definedName>
    <definedName name="Varredor_diu_var_man" localSheetId="5">#REF!</definedName>
    <definedName name="Varredor_diu_var_man" localSheetId="6">#REF!</definedName>
    <definedName name="Varredor_diu_var_man" localSheetId="14">#REF!</definedName>
    <definedName name="Varredor_diu_var_man">#REF!</definedName>
    <definedName name="Varredor_diu_var_man_res" localSheetId="5">#REF!</definedName>
    <definedName name="Varredor_diu_var_man_res" localSheetId="6">#REF!</definedName>
    <definedName name="Varredor_diu_var_man_res" localSheetId="14">#REF!</definedName>
    <definedName name="Varredor_diu_var_man_res">#REF!</definedName>
    <definedName name="Varredor_not_lim_mercado" localSheetId="5">#REF!</definedName>
    <definedName name="Varredor_not_lim_mercado" localSheetId="6">#REF!</definedName>
    <definedName name="Varredor_not_lim_mercado" localSheetId="14">#REF!</definedName>
    <definedName name="Varredor_not_lim_mercado">#REF!</definedName>
    <definedName name="Varredor_not_lim_mercado_res" localSheetId="5">#REF!</definedName>
    <definedName name="Varredor_not_lim_mercado_res" localSheetId="6">#REF!</definedName>
    <definedName name="Varredor_not_lim_mercado_res" localSheetId="14">#REF!</definedName>
    <definedName name="Varredor_not_lim_mercado_res">#REF!</definedName>
    <definedName name="Varredor_not_var_man" localSheetId="5">#REF!</definedName>
    <definedName name="Varredor_not_var_man" localSheetId="6">#REF!</definedName>
    <definedName name="Varredor_not_var_man" localSheetId="14">#REF!</definedName>
    <definedName name="Varredor_not_var_man">#REF!</definedName>
    <definedName name="Varredor_not_var_man_res" localSheetId="5">#REF!</definedName>
    <definedName name="Varredor_not_var_man_res" localSheetId="6">#REF!</definedName>
    <definedName name="Varredor_not_var_man_res" localSheetId="14">#REF!</definedName>
    <definedName name="Varredor_not_var_man_res">#REF!</definedName>
    <definedName name="VARRICAO" localSheetId="5">#REF!</definedName>
    <definedName name="VARRICAO" localSheetId="6">#REF!</definedName>
    <definedName name="VARRICAO" localSheetId="14">#REF!</definedName>
    <definedName name="VARRICAO">#REF!</definedName>
    <definedName name="VarS" localSheetId="5">#REF!</definedName>
    <definedName name="VarS" localSheetId="6">#REF!</definedName>
    <definedName name="VarS" localSheetId="14">#REF!</definedName>
    <definedName name="VarS">#REF!</definedName>
    <definedName name="Vigia_diu_op_aterro" localSheetId="5">#REF!</definedName>
    <definedName name="Vigia_diu_op_aterro" localSheetId="6">#REF!</definedName>
    <definedName name="Vigia_diu_op_aterro" localSheetId="14">#REF!</definedName>
    <definedName name="Vigia_diu_op_aterro">#REF!</definedName>
    <definedName name="Vigia_diu_op_aterro_res" localSheetId="5">#REF!</definedName>
    <definedName name="Vigia_diu_op_aterro_res" localSheetId="6">#REF!</definedName>
    <definedName name="Vigia_diu_op_aterro_res" localSheetId="14">#REF!</definedName>
    <definedName name="Vigia_diu_op_aterro_res">#REF!</definedName>
    <definedName name="Vigia_not_op_aterro" localSheetId="5">#REF!</definedName>
    <definedName name="Vigia_not_op_aterro" localSheetId="6">#REF!</definedName>
    <definedName name="Vigia_not_op_aterro" localSheetId="14">#REF!</definedName>
    <definedName name="Vigia_not_op_aterro">#REF!</definedName>
    <definedName name="Vigia_not_op_aterro_res" localSheetId="5">#REF!</definedName>
    <definedName name="Vigia_not_op_aterro_res" localSheetId="6">#REF!</definedName>
    <definedName name="Vigia_not_op_aterro_res" localSheetId="14">#REF!</definedName>
    <definedName name="Vigia_not_op_aterro_re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3" i="60" l="1"/>
  <c r="B21" i="60"/>
  <c r="B22" i="60"/>
  <c r="F257" i="60"/>
  <c r="J250" i="60"/>
  <c r="J249" i="60"/>
  <c r="J248" i="60"/>
  <c r="J247" i="60"/>
  <c r="J246" i="60"/>
  <c r="J245" i="60"/>
  <c r="J244" i="60"/>
  <c r="J243" i="60"/>
  <c r="J242" i="60"/>
  <c r="J241" i="60"/>
  <c r="J240" i="60"/>
  <c r="J239" i="60"/>
  <c r="J238" i="60"/>
  <c r="J237" i="60"/>
  <c r="J236" i="60"/>
  <c r="J235" i="60"/>
  <c r="J234" i="60"/>
  <c r="I229" i="60"/>
  <c r="I228" i="60"/>
  <c r="A226" i="60"/>
  <c r="A228" i="60"/>
  <c r="I227" i="60"/>
  <c r="I226" i="60"/>
  <c r="N165" i="60"/>
  <c r="P165" i="60"/>
  <c r="N164" i="60"/>
  <c r="P164" i="60"/>
  <c r="N163" i="60"/>
  <c r="P163" i="60"/>
  <c r="P155" i="60"/>
  <c r="N148" i="60"/>
  <c r="P148" i="60"/>
  <c r="N147" i="60"/>
  <c r="P147" i="60"/>
  <c r="N146" i="60"/>
  <c r="P146" i="60"/>
  <c r="P138" i="60"/>
  <c r="N131" i="60"/>
  <c r="P131" i="60"/>
  <c r="N130" i="60"/>
  <c r="P130" i="60"/>
  <c r="N129" i="60"/>
  <c r="P129" i="60"/>
  <c r="N114" i="60"/>
  <c r="P114" i="60"/>
  <c r="N113" i="60"/>
  <c r="P113" i="60"/>
  <c r="N112" i="60"/>
  <c r="P112" i="60"/>
  <c r="N98" i="60"/>
  <c r="P98" i="60"/>
  <c r="N97" i="60"/>
  <c r="P97" i="60"/>
  <c r="N96" i="60"/>
  <c r="P96" i="60"/>
  <c r="P89" i="60"/>
  <c r="P90" i="60"/>
  <c r="N82" i="60"/>
  <c r="P82" i="60"/>
  <c r="N81" i="60"/>
  <c r="P81" i="60"/>
  <c r="N80" i="60"/>
  <c r="P80" i="60"/>
  <c r="P73" i="60"/>
  <c r="P74" i="60"/>
  <c r="N75" i="60"/>
  <c r="N173" i="60"/>
  <c r="P173" i="60"/>
  <c r="A222" i="60"/>
  <c r="H222" i="60"/>
  <c r="L211" i="60"/>
  <c r="L207" i="60"/>
  <c r="L206" i="60"/>
  <c r="L205" i="60"/>
  <c r="L204" i="60"/>
  <c r="L203" i="60"/>
  <c r="A216" i="60"/>
  <c r="G216" i="60"/>
  <c r="A215" i="60"/>
  <c r="G215" i="60"/>
  <c r="A214" i="60"/>
  <c r="G214" i="60"/>
  <c r="A213" i="60"/>
  <c r="G213" i="60"/>
  <c r="A212" i="60"/>
  <c r="G212" i="60"/>
  <c r="A211" i="60"/>
  <c r="G211" i="60"/>
  <c r="A210" i="60"/>
  <c r="G210" i="60"/>
  <c r="A209" i="60"/>
  <c r="G209" i="60"/>
  <c r="A208" i="60"/>
  <c r="G208" i="60"/>
  <c r="A207" i="60"/>
  <c r="G207" i="60"/>
  <c r="A206" i="60"/>
  <c r="G206" i="60"/>
  <c r="G222" i="60"/>
  <c r="A205" i="60"/>
  <c r="G205" i="60"/>
  <c r="P121" i="60"/>
  <c r="A204" i="60"/>
  <c r="G204" i="60"/>
  <c r="A203" i="60"/>
  <c r="G203" i="60"/>
  <c r="H216" i="60"/>
  <c r="L216" i="60"/>
  <c r="H215" i="60"/>
  <c r="L215" i="60"/>
  <c r="H214" i="60"/>
  <c r="L214" i="60"/>
  <c r="H213" i="60"/>
  <c r="L213" i="60"/>
  <c r="H212" i="60"/>
  <c r="H211" i="60"/>
  <c r="H210" i="60"/>
  <c r="L210" i="60"/>
  <c r="H209" i="60"/>
  <c r="H208" i="60"/>
  <c r="L208" i="60"/>
  <c r="H206" i="60"/>
  <c r="H207" i="60"/>
  <c r="H205" i="60"/>
  <c r="H204" i="60"/>
  <c r="H203" i="60"/>
  <c r="H221" i="60"/>
  <c r="J221" i="60"/>
  <c r="R36" i="60"/>
  <c r="L185" i="60"/>
  <c r="A36" i="60"/>
  <c r="A170" i="60"/>
  <c r="R35" i="60"/>
  <c r="L168" i="60"/>
  <c r="A35" i="60"/>
  <c r="A153" i="60"/>
  <c r="R34" i="60"/>
  <c r="L151" i="60"/>
  <c r="A34" i="60"/>
  <c r="A136" i="60"/>
  <c r="R33" i="60"/>
  <c r="L134" i="60"/>
  <c r="A33" i="60"/>
  <c r="A119" i="60"/>
  <c r="R32" i="60"/>
  <c r="L117" i="60"/>
  <c r="A32" i="60"/>
  <c r="A103" i="60"/>
  <c r="R31" i="60"/>
  <c r="L101" i="60"/>
  <c r="A31" i="60"/>
  <c r="A87" i="60"/>
  <c r="R30" i="60"/>
  <c r="L85" i="60"/>
  <c r="A30" i="60"/>
  <c r="A71" i="60"/>
  <c r="R29" i="60"/>
  <c r="A29" i="60"/>
  <c r="A56" i="60"/>
  <c r="R28" i="60"/>
  <c r="A28" i="60"/>
  <c r="A41" i="60"/>
  <c r="B20" i="60"/>
  <c r="B36" i="60"/>
  <c r="B170" i="60"/>
  <c r="B19" i="60"/>
  <c r="B35" i="60"/>
  <c r="B153" i="60"/>
  <c r="B18" i="60"/>
  <c r="B34" i="60"/>
  <c r="B136" i="60"/>
  <c r="B17" i="60"/>
  <c r="B33" i="60"/>
  <c r="B119" i="60"/>
  <c r="B16" i="60"/>
  <c r="B32" i="60"/>
  <c r="B103" i="60"/>
  <c r="B15" i="60"/>
  <c r="B31" i="60"/>
  <c r="B87" i="60"/>
  <c r="B14" i="60"/>
  <c r="B30" i="60"/>
  <c r="B71" i="60"/>
  <c r="B13" i="60"/>
  <c r="B29" i="60"/>
  <c r="B56" i="60"/>
  <c r="B12" i="60"/>
  <c r="B28" i="60"/>
  <c r="B41" i="60"/>
  <c r="B7" i="60"/>
  <c r="T5" i="43"/>
  <c r="T6" i="43"/>
  <c r="T7" i="43"/>
  <c r="T8" i="43"/>
  <c r="D21" i="43"/>
  <c r="N260" i="60"/>
  <c r="G198" i="60"/>
  <c r="N46" i="60"/>
  <c r="P46" i="60"/>
  <c r="G197" i="60"/>
  <c r="G196" i="60"/>
  <c r="N47" i="60"/>
  <c r="N48" i="60"/>
  <c r="P48" i="60"/>
  <c r="G195" i="60"/>
  <c r="G194" i="60"/>
  <c r="I194" i="60"/>
  <c r="N125" i="60"/>
  <c r="C17" i="37"/>
  <c r="C27" i="37"/>
  <c r="C36" i="37"/>
  <c r="C38" i="37"/>
  <c r="C32" i="37"/>
  <c r="C40" i="37"/>
  <c r="G193" i="60"/>
  <c r="L175" i="60"/>
  <c r="G190" i="60"/>
  <c r="N105" i="60"/>
  <c r="P105" i="60"/>
  <c r="P106" i="60"/>
  <c r="N182" i="60"/>
  <c r="P182" i="60"/>
  <c r="N181" i="60"/>
  <c r="P181" i="60"/>
  <c r="N180" i="60"/>
  <c r="P180" i="60"/>
  <c r="P172" i="60"/>
  <c r="N66" i="60"/>
  <c r="P66" i="60"/>
  <c r="N65" i="60"/>
  <c r="P65" i="60"/>
  <c r="N64" i="60"/>
  <c r="P64" i="60"/>
  <c r="N51" i="60"/>
  <c r="P51" i="60"/>
  <c r="N50" i="60"/>
  <c r="P50" i="60"/>
  <c r="N49" i="60"/>
  <c r="P49" i="60"/>
  <c r="C26" i="48"/>
  <c r="C24" i="48"/>
  <c r="P227" i="59"/>
  <c r="I9" i="22"/>
  <c r="N226" i="59"/>
  <c r="J281" i="2"/>
  <c r="J222" i="59"/>
  <c r="H172" i="25"/>
  <c r="J280" i="2"/>
  <c r="J279" i="2"/>
  <c r="J221" i="59"/>
  <c r="J220" i="59"/>
  <c r="H222" i="59"/>
  <c r="H221" i="59"/>
  <c r="H220" i="59"/>
  <c r="I215" i="59"/>
  <c r="I214" i="59"/>
  <c r="G205" i="59"/>
  <c r="U196" i="59"/>
  <c r="I194" i="59"/>
  <c r="I192" i="59"/>
  <c r="G201" i="59"/>
  <c r="G210" i="59"/>
  <c r="G211" i="59"/>
  <c r="O24" i="59"/>
  <c r="O186" i="59"/>
  <c r="O185" i="59"/>
  <c r="O184" i="59"/>
  <c r="H176" i="59"/>
  <c r="M160" i="59"/>
  <c r="M159" i="59"/>
  <c r="M218" i="2"/>
  <c r="M217" i="2"/>
  <c r="K160" i="59"/>
  <c r="O159" i="59"/>
  <c r="E61" i="42"/>
  <c r="F152" i="59"/>
  <c r="F210" i="2"/>
  <c r="F211" i="2"/>
  <c r="L62" i="59"/>
  <c r="L63" i="59"/>
  <c r="L81" i="59"/>
  <c r="L82" i="59"/>
  <c r="L99" i="59"/>
  <c r="L100" i="59"/>
  <c r="D151" i="25"/>
  <c r="N100" i="59"/>
  <c r="N99" i="59"/>
  <c r="A96" i="59"/>
  <c r="A77" i="59"/>
  <c r="N79" i="59"/>
  <c r="N81" i="59"/>
  <c r="N108" i="59"/>
  <c r="P108" i="59"/>
  <c r="N107" i="59"/>
  <c r="P107" i="59"/>
  <c r="N106" i="59"/>
  <c r="P106" i="59"/>
  <c r="P98" i="59"/>
  <c r="B32" i="59"/>
  <c r="B77" i="59"/>
  <c r="R33" i="59"/>
  <c r="R34" i="59"/>
  <c r="B33" i="59"/>
  <c r="B14" i="59"/>
  <c r="N91" i="59"/>
  <c r="P91" i="59"/>
  <c r="N90" i="59"/>
  <c r="P90" i="59"/>
  <c r="N89" i="59"/>
  <c r="P89" i="59"/>
  <c r="G124" i="59"/>
  <c r="N86" i="59"/>
  <c r="P86" i="59"/>
  <c r="G123" i="59"/>
  <c r="G122" i="59"/>
  <c r="N104" i="59"/>
  <c r="G121" i="59"/>
  <c r="G120" i="59"/>
  <c r="I120" i="59"/>
  <c r="N66" i="59"/>
  <c r="G119" i="59"/>
  <c r="L102" i="59"/>
  <c r="G116" i="59"/>
  <c r="N80" i="59"/>
  <c r="P80" i="59"/>
  <c r="N61" i="59"/>
  <c r="P61" i="59"/>
  <c r="N60" i="59"/>
  <c r="A58" i="59"/>
  <c r="N72" i="59"/>
  <c r="P72" i="59"/>
  <c r="N71" i="59"/>
  <c r="P71" i="59"/>
  <c r="N70" i="59"/>
  <c r="P70" i="59"/>
  <c r="R38" i="59"/>
  <c r="N145" i="59"/>
  <c r="R37" i="59"/>
  <c r="B37" i="59"/>
  <c r="B16" i="59"/>
  <c r="B31" i="59"/>
  <c r="B12" i="59"/>
  <c r="K54" i="59"/>
  <c r="K49" i="59"/>
  <c r="K51" i="59"/>
  <c r="C9" i="22"/>
  <c r="B22" i="48"/>
  <c r="M17" i="51"/>
  <c r="B17" i="51"/>
  <c r="B16" i="51"/>
  <c r="B4" i="51"/>
  <c r="M127" i="25"/>
  <c r="M130" i="25"/>
  <c r="M131" i="25"/>
  <c r="G169" i="25"/>
  <c r="B22" i="25"/>
  <c r="B21" i="25"/>
  <c r="B20" i="25"/>
  <c r="B19" i="25"/>
  <c r="B36" i="25"/>
  <c r="G178" i="25"/>
  <c r="L119" i="25"/>
  <c r="N119" i="25"/>
  <c r="L118" i="25"/>
  <c r="N118" i="25"/>
  <c r="L117" i="25"/>
  <c r="N117" i="25"/>
  <c r="N110" i="25"/>
  <c r="N111" i="25"/>
  <c r="L94" i="25"/>
  <c r="N94" i="25"/>
  <c r="N95" i="25"/>
  <c r="L103" i="25"/>
  <c r="N103" i="25"/>
  <c r="L102" i="25"/>
  <c r="N102" i="25"/>
  <c r="L101" i="25"/>
  <c r="N101" i="25"/>
  <c r="L78" i="25"/>
  <c r="N78" i="25"/>
  <c r="L61" i="25"/>
  <c r="N61" i="25"/>
  <c r="L87" i="25"/>
  <c r="N87" i="25"/>
  <c r="L86" i="25"/>
  <c r="N86" i="25"/>
  <c r="L85" i="25"/>
  <c r="N85" i="25"/>
  <c r="L71" i="25"/>
  <c r="N71" i="25"/>
  <c r="L70" i="25"/>
  <c r="N70" i="25"/>
  <c r="L69" i="25"/>
  <c r="N69" i="25"/>
  <c r="L62" i="25"/>
  <c r="N62" i="25"/>
  <c r="L45" i="25"/>
  <c r="N45" i="25"/>
  <c r="P30" i="25"/>
  <c r="P29" i="25"/>
  <c r="P28" i="25"/>
  <c r="J74" i="25"/>
  <c r="P27" i="25"/>
  <c r="J57" i="25"/>
  <c r="B32" i="25"/>
  <c r="B31" i="25"/>
  <c r="B16" i="25"/>
  <c r="B30" i="25"/>
  <c r="B15" i="25"/>
  <c r="B29" i="25"/>
  <c r="B76" i="25"/>
  <c r="B28" i="25"/>
  <c r="B59" i="25"/>
  <c r="B27" i="25"/>
  <c r="B42" i="25"/>
  <c r="C6" i="22"/>
  <c r="B12" i="48"/>
  <c r="C5" i="22"/>
  <c r="A108" i="25"/>
  <c r="A92" i="25"/>
  <c r="A76" i="25"/>
  <c r="A59" i="25"/>
  <c r="L54" i="25"/>
  <c r="N54" i="25"/>
  <c r="L53" i="25"/>
  <c r="N53" i="25"/>
  <c r="L52" i="25"/>
  <c r="N52" i="25"/>
  <c r="A42" i="25"/>
  <c r="P38" i="25"/>
  <c r="I251" i="2"/>
  <c r="O245" i="2"/>
  <c r="O244" i="2"/>
  <c r="O243" i="2"/>
  <c r="K218" i="2"/>
  <c r="O217" i="2"/>
  <c r="R39" i="2"/>
  <c r="R38" i="2"/>
  <c r="N149" i="2"/>
  <c r="B146" i="2"/>
  <c r="A146" i="2"/>
  <c r="N158" i="2"/>
  <c r="P158" i="2"/>
  <c r="N157" i="2"/>
  <c r="P157" i="2"/>
  <c r="N156" i="2"/>
  <c r="P156" i="2"/>
  <c r="N150" i="2"/>
  <c r="L150" i="2"/>
  <c r="L149" i="2"/>
  <c r="P148" i="2"/>
  <c r="B128" i="2"/>
  <c r="A128" i="2"/>
  <c r="N141" i="2"/>
  <c r="P141" i="2"/>
  <c r="N140" i="2"/>
  <c r="P140" i="2"/>
  <c r="N139" i="2"/>
  <c r="P139" i="2"/>
  <c r="L133" i="2"/>
  <c r="L132" i="2"/>
  <c r="A108" i="2"/>
  <c r="N123" i="2"/>
  <c r="P123" i="2"/>
  <c r="N122" i="2"/>
  <c r="P122" i="2"/>
  <c r="N121" i="2"/>
  <c r="P121" i="2"/>
  <c r="L114" i="2"/>
  <c r="L113" i="2"/>
  <c r="N90" i="2"/>
  <c r="N92" i="2"/>
  <c r="A88" i="2"/>
  <c r="A68" i="2"/>
  <c r="A49" i="2"/>
  <c r="N102" i="2"/>
  <c r="P102" i="2"/>
  <c r="N101" i="2"/>
  <c r="P101" i="2"/>
  <c r="N100" i="2"/>
  <c r="P100" i="2"/>
  <c r="L93" i="2"/>
  <c r="L92" i="2"/>
  <c r="N83" i="2"/>
  <c r="P83" i="2"/>
  <c r="N82" i="2"/>
  <c r="P82" i="2"/>
  <c r="N63" i="2"/>
  <c r="P63" i="2"/>
  <c r="N62" i="2"/>
  <c r="P62" i="2"/>
  <c r="N81" i="2"/>
  <c r="P81" i="2"/>
  <c r="N61" i="2"/>
  <c r="P61" i="2"/>
  <c r="N70" i="2"/>
  <c r="N73" i="2"/>
  <c r="L74" i="2"/>
  <c r="L73" i="2"/>
  <c r="L54" i="2"/>
  <c r="L53" i="2"/>
  <c r="N51" i="2"/>
  <c r="P51" i="2"/>
  <c r="R45" i="2"/>
  <c r="R37" i="2"/>
  <c r="L126" i="2"/>
  <c r="R36" i="2"/>
  <c r="L105" i="2"/>
  <c r="R35" i="2"/>
  <c r="L86" i="2"/>
  <c r="R34" i="2"/>
  <c r="L66" i="2"/>
  <c r="B37" i="2"/>
  <c r="B108" i="2"/>
  <c r="B36" i="2"/>
  <c r="B88" i="2"/>
  <c r="B35" i="2"/>
  <c r="B68" i="2"/>
  <c r="B34" i="2"/>
  <c r="B49" i="2"/>
  <c r="B15" i="2"/>
  <c r="B13" i="2"/>
  <c r="B19" i="2"/>
  <c r="B43" i="2"/>
  <c r="B17" i="2"/>
  <c r="B16" i="2"/>
  <c r="B14" i="2"/>
  <c r="B12" i="2"/>
  <c r="C40" i="48"/>
  <c r="B29" i="48"/>
  <c r="P31" i="25"/>
  <c r="P32" i="25"/>
  <c r="D38" i="56"/>
  <c r="G39" i="56"/>
  <c r="B5" i="56"/>
  <c r="M12" i="42"/>
  <c r="M11" i="42"/>
  <c r="M17" i="42"/>
  <c r="M16" i="42"/>
  <c r="M15" i="42"/>
  <c r="M14" i="42"/>
  <c r="M13" i="42"/>
  <c r="Q16" i="57"/>
  <c r="Q18" i="57"/>
  <c r="G131" i="59"/>
  <c r="G135" i="59"/>
  <c r="G134" i="59"/>
  <c r="G132" i="59"/>
  <c r="O132" i="59"/>
  <c r="G130" i="59"/>
  <c r="G129" i="59"/>
  <c r="G144" i="59"/>
  <c r="G143" i="59"/>
  <c r="G142" i="59"/>
  <c r="M182" i="59"/>
  <c r="M183" i="59"/>
  <c r="O183" i="59"/>
  <c r="N135" i="59"/>
  <c r="L135" i="59"/>
  <c r="H135" i="59"/>
  <c r="N134" i="59"/>
  <c r="L134" i="59"/>
  <c r="H134" i="59"/>
  <c r="N133" i="59"/>
  <c r="L133" i="59"/>
  <c r="H133" i="59"/>
  <c r="L132" i="59"/>
  <c r="H132" i="59"/>
  <c r="N131" i="59"/>
  <c r="L131" i="59"/>
  <c r="H131" i="59"/>
  <c r="N130" i="59"/>
  <c r="L130" i="59"/>
  <c r="H130" i="59"/>
  <c r="N129" i="59"/>
  <c r="L129" i="59"/>
  <c r="H129" i="59"/>
  <c r="I5" i="22"/>
  <c r="N183" i="25"/>
  <c r="I253" i="2"/>
  <c r="U255" i="2"/>
  <c r="H280" i="2"/>
  <c r="L280" i="2"/>
  <c r="H281" i="2"/>
  <c r="H279" i="2"/>
  <c r="D165" i="2"/>
  <c r="N111" i="2"/>
  <c r="P111" i="2"/>
  <c r="D169" i="2"/>
  <c r="F169" i="2"/>
  <c r="D173" i="2"/>
  <c r="N153" i="2"/>
  <c r="P153" i="2"/>
  <c r="D172" i="2"/>
  <c r="N137" i="2"/>
  <c r="N154" i="2"/>
  <c r="D170" i="2"/>
  <c r="F178" i="2"/>
  <c r="H178" i="2"/>
  <c r="F179" i="2"/>
  <c r="H179" i="2"/>
  <c r="F180" i="2"/>
  <c r="H180" i="2"/>
  <c r="F181" i="2"/>
  <c r="N181" i="2"/>
  <c r="H181" i="2"/>
  <c r="F182" i="2"/>
  <c r="G133" i="59"/>
  <c r="H182" i="2"/>
  <c r="F183" i="2"/>
  <c r="H183" i="2"/>
  <c r="F184" i="2"/>
  <c r="H184" i="2"/>
  <c r="H171" i="25"/>
  <c r="B8" i="54"/>
  <c r="B15" i="54"/>
  <c r="B22" i="54"/>
  <c r="B27" i="54"/>
  <c r="B30" i="54"/>
  <c r="B43" i="54"/>
  <c r="G5" i="56"/>
  <c r="B2" i="48"/>
  <c r="K11" i="42"/>
  <c r="K12" i="42"/>
  <c r="B36" i="54"/>
  <c r="B52" i="54"/>
  <c r="E62" i="42"/>
  <c r="I84" i="42"/>
  <c r="I90" i="42"/>
  <c r="I96" i="42"/>
  <c r="G9" i="51"/>
  <c r="L9" i="51"/>
  <c r="K10" i="51"/>
  <c r="F146" i="25"/>
  <c r="H146" i="25"/>
  <c r="D147" i="25"/>
  <c r="F147" i="25"/>
  <c r="H147" i="25"/>
  <c r="F148" i="25"/>
  <c r="H148" i="25"/>
  <c r="F149" i="25"/>
  <c r="H149" i="25"/>
  <c r="F150" i="25"/>
  <c r="H150" i="25"/>
  <c r="F151" i="25"/>
  <c r="H151" i="25"/>
  <c r="F152" i="25"/>
  <c r="H152" i="25"/>
  <c r="A125" i="25"/>
  <c r="G142" i="25"/>
  <c r="I142" i="25"/>
  <c r="G140" i="25"/>
  <c r="L115" i="25"/>
  <c r="L116" i="25"/>
  <c r="N116" i="25"/>
  <c r="G139" i="25"/>
  <c r="G136" i="25"/>
  <c r="G138" i="25"/>
  <c r="I138" i="25"/>
  <c r="L65" i="25"/>
  <c r="D146" i="25"/>
  <c r="M178" i="2"/>
  <c r="J146" i="25"/>
  <c r="M179" i="2"/>
  <c r="J147" i="25"/>
  <c r="D148" i="25"/>
  <c r="M180" i="2"/>
  <c r="J148" i="25"/>
  <c r="D149" i="25"/>
  <c r="J149" i="25"/>
  <c r="D150" i="25"/>
  <c r="M182" i="2"/>
  <c r="J150" i="25"/>
  <c r="A151" i="25"/>
  <c r="M183" i="2"/>
  <c r="J151" i="25"/>
  <c r="A152" i="25"/>
  <c r="D152" i="25"/>
  <c r="M184" i="2"/>
  <c r="J152" i="25"/>
  <c r="I159" i="25"/>
  <c r="G163" i="25"/>
  <c r="G168" i="25"/>
  <c r="F177" i="25"/>
  <c r="H163" i="25"/>
  <c r="H168" i="25"/>
  <c r="G177" i="25"/>
  <c r="J163" i="25"/>
  <c r="J168" i="25"/>
  <c r="J177" i="25"/>
  <c r="J164" i="25"/>
  <c r="I165" i="25"/>
  <c r="M20" i="25"/>
  <c r="H169" i="25"/>
  <c r="H170" i="25"/>
  <c r="H173" i="25"/>
  <c r="J173" i="25"/>
  <c r="E198" i="2"/>
  <c r="D201" i="2"/>
  <c r="J227" i="2"/>
  <c r="E199" i="2"/>
  <c r="D202" i="2"/>
  <c r="K178" i="2"/>
  <c r="K179" i="2"/>
  <c r="K180" i="2"/>
  <c r="K181" i="2"/>
  <c r="L181" i="2"/>
  <c r="K182" i="2"/>
  <c r="K183" i="2"/>
  <c r="K184" i="2"/>
  <c r="K209" i="2"/>
  <c r="M241" i="2"/>
  <c r="O241" i="2"/>
  <c r="K210" i="2"/>
  <c r="K211" i="2"/>
  <c r="H235" i="2"/>
  <c r="G264" i="2"/>
  <c r="I273" i="2"/>
  <c r="P287" i="2"/>
  <c r="A10" i="57"/>
  <c r="Q10" i="57"/>
  <c r="A12" i="57"/>
  <c r="Q12" i="57"/>
  <c r="B14" i="57"/>
  <c r="Q14" i="57"/>
  <c r="I274" i="2"/>
  <c r="N286" i="2"/>
  <c r="L182" i="25"/>
  <c r="M21" i="51"/>
  <c r="D168" i="2"/>
  <c r="L135" i="2"/>
  <c r="G137" i="25"/>
  <c r="J64" i="25"/>
  <c r="D171" i="2"/>
  <c r="N98" i="2"/>
  <c r="G141" i="25"/>
  <c r="L99" i="25"/>
  <c r="N131" i="2"/>
  <c r="P131" i="2"/>
  <c r="N132" i="2"/>
  <c r="P130" i="2"/>
  <c r="N133" i="2"/>
  <c r="C10" i="48"/>
  <c r="C25" i="48"/>
  <c r="H230" i="60"/>
  <c r="O21" i="60"/>
  <c r="J251" i="60"/>
  <c r="J252" i="60"/>
  <c r="O22" i="60"/>
  <c r="J207" i="60"/>
  <c r="N78" i="60"/>
  <c r="N79" i="60"/>
  <c r="P79" i="60"/>
  <c r="N156" i="60"/>
  <c r="P156" i="60"/>
  <c r="P157" i="60"/>
  <c r="N158" i="60"/>
  <c r="N176" i="60"/>
  <c r="P176" i="60"/>
  <c r="L158" i="60"/>
  <c r="N160" i="60"/>
  <c r="P160" i="60"/>
  <c r="L141" i="60"/>
  <c r="N159" i="60"/>
  <c r="P159" i="60"/>
  <c r="N161" i="60"/>
  <c r="N139" i="60"/>
  <c r="P139" i="60"/>
  <c r="P140" i="60"/>
  <c r="N143" i="60"/>
  <c r="P143" i="60"/>
  <c r="N122" i="60"/>
  <c r="P122" i="60"/>
  <c r="P123" i="60"/>
  <c r="N124" i="60"/>
  <c r="N142" i="60"/>
  <c r="P142" i="60"/>
  <c r="N144" i="60"/>
  <c r="L124" i="60"/>
  <c r="P125" i="60"/>
  <c r="N94" i="60"/>
  <c r="N126" i="60"/>
  <c r="P126" i="60"/>
  <c r="N110" i="60"/>
  <c r="N62" i="60"/>
  <c r="N63" i="60"/>
  <c r="P63" i="60"/>
  <c r="N127" i="60"/>
  <c r="L107" i="60"/>
  <c r="N107" i="60"/>
  <c r="N109" i="60"/>
  <c r="P109" i="60"/>
  <c r="N76" i="60"/>
  <c r="P76" i="60"/>
  <c r="N92" i="60"/>
  <c r="P92" i="60"/>
  <c r="N108" i="60"/>
  <c r="P108" i="60"/>
  <c r="N91" i="60"/>
  <c r="N93" i="60"/>
  <c r="P93" i="60"/>
  <c r="L91" i="60"/>
  <c r="N77" i="60"/>
  <c r="P77" i="60"/>
  <c r="L75" i="60"/>
  <c r="P75" i="60"/>
  <c r="J222" i="60"/>
  <c r="J223" i="60"/>
  <c r="N149" i="60"/>
  <c r="P149" i="60"/>
  <c r="J215" i="60"/>
  <c r="J211" i="60"/>
  <c r="J205" i="60"/>
  <c r="N205" i="60"/>
  <c r="J209" i="60"/>
  <c r="N209" i="60"/>
  <c r="J213" i="60"/>
  <c r="N213" i="60"/>
  <c r="N206" i="60"/>
  <c r="J206" i="60"/>
  <c r="N210" i="60"/>
  <c r="J210" i="60"/>
  <c r="N214" i="60"/>
  <c r="J214" i="60"/>
  <c r="N204" i="60"/>
  <c r="J204" i="60"/>
  <c r="N208" i="60"/>
  <c r="J208" i="60"/>
  <c r="N212" i="60"/>
  <c r="J212" i="60"/>
  <c r="N216" i="60"/>
  <c r="N207" i="60"/>
  <c r="N211" i="60"/>
  <c r="N215" i="60"/>
  <c r="J216" i="60"/>
  <c r="N178" i="60"/>
  <c r="N179" i="60"/>
  <c r="P179" i="60"/>
  <c r="L220" i="59"/>
  <c r="H216" i="59"/>
  <c r="O25" i="59"/>
  <c r="N61" i="60"/>
  <c r="P61" i="60"/>
  <c r="R37" i="60"/>
  <c r="P58" i="60"/>
  <c r="N177" i="60"/>
  <c r="P177" i="60"/>
  <c r="I198" i="60"/>
  <c r="P43" i="60"/>
  <c r="N203" i="60"/>
  <c r="L45" i="60"/>
  <c r="P47" i="60"/>
  <c r="L60" i="60"/>
  <c r="J203" i="60"/>
  <c r="L221" i="59"/>
  <c r="L222" i="59"/>
  <c r="O160" i="59"/>
  <c r="M162" i="59"/>
  <c r="O162" i="59"/>
  <c r="M163" i="59"/>
  <c r="M187" i="59"/>
  <c r="O187" i="59"/>
  <c r="O188" i="59"/>
  <c r="O189" i="59"/>
  <c r="O21" i="59"/>
  <c r="O182" i="59"/>
  <c r="P81" i="59"/>
  <c r="P99" i="59"/>
  <c r="G145" i="59"/>
  <c r="I191" i="59"/>
  <c r="G200" i="59"/>
  <c r="G206" i="59"/>
  <c r="O23" i="59"/>
  <c r="F153" i="59"/>
  <c r="F154" i="59"/>
  <c r="P100" i="59"/>
  <c r="O133" i="59"/>
  <c r="J133" i="59"/>
  <c r="N87" i="59"/>
  <c r="M133" i="59"/>
  <c r="B13" i="59"/>
  <c r="N103" i="59"/>
  <c r="P103" i="59"/>
  <c r="L84" i="59"/>
  <c r="B96" i="59"/>
  <c r="L65" i="59"/>
  <c r="I124" i="59"/>
  <c r="N85" i="59"/>
  <c r="P85" i="59"/>
  <c r="P66" i="59"/>
  <c r="N68" i="59"/>
  <c r="N69" i="59"/>
  <c r="P69" i="59"/>
  <c r="N67" i="59"/>
  <c r="P67" i="59"/>
  <c r="N82" i="59"/>
  <c r="P82" i="59"/>
  <c r="P79" i="59"/>
  <c r="N62" i="59"/>
  <c r="P62" i="59"/>
  <c r="B58" i="59"/>
  <c r="N63" i="59"/>
  <c r="P63" i="59"/>
  <c r="P60" i="59"/>
  <c r="R39" i="59"/>
  <c r="H177" i="59"/>
  <c r="H178" i="59"/>
  <c r="O20" i="59"/>
  <c r="O129" i="59"/>
  <c r="M130" i="59"/>
  <c r="B18" i="57"/>
  <c r="M131" i="59"/>
  <c r="J134" i="59"/>
  <c r="M132" i="59"/>
  <c r="J129" i="59"/>
  <c r="J135" i="59"/>
  <c r="M134" i="59"/>
  <c r="N146" i="59"/>
  <c r="O135" i="59"/>
  <c r="J132" i="59"/>
  <c r="M129" i="59"/>
  <c r="J131" i="59"/>
  <c r="M135" i="59"/>
  <c r="O130" i="59"/>
  <c r="O134" i="59"/>
  <c r="O131" i="59"/>
  <c r="J130" i="59"/>
  <c r="M16" i="51"/>
  <c r="M18" i="51"/>
  <c r="P17" i="51"/>
  <c r="B13" i="25"/>
  <c r="I151" i="25"/>
  <c r="B17" i="25"/>
  <c r="D128" i="25"/>
  <c r="D129" i="25"/>
  <c r="B14" i="25"/>
  <c r="B12" i="25"/>
  <c r="N65" i="25"/>
  <c r="L112" i="25"/>
  <c r="L97" i="25"/>
  <c r="N97" i="25"/>
  <c r="L113" i="25"/>
  <c r="N113" i="25"/>
  <c r="B108" i="25"/>
  <c r="J112" i="25"/>
  <c r="N112" i="25"/>
  <c r="N115" i="25"/>
  <c r="L114" i="25"/>
  <c r="N114" i="25"/>
  <c r="L96" i="25"/>
  <c r="B92" i="25"/>
  <c r="J96" i="25"/>
  <c r="L98" i="25"/>
  <c r="N98" i="25"/>
  <c r="L50" i="25"/>
  <c r="L51" i="25"/>
  <c r="N51" i="25"/>
  <c r="N79" i="25"/>
  <c r="L80" i="25"/>
  <c r="N63" i="25"/>
  <c r="L64" i="25"/>
  <c r="N64" i="25"/>
  <c r="J80" i="25"/>
  <c r="L82" i="25"/>
  <c r="N82" i="25"/>
  <c r="J47" i="25"/>
  <c r="L48" i="25"/>
  <c r="N48" i="25"/>
  <c r="L66" i="25"/>
  <c r="N66" i="25"/>
  <c r="L81" i="25"/>
  <c r="N81" i="25"/>
  <c r="L83" i="25"/>
  <c r="L49" i="25"/>
  <c r="N49" i="25"/>
  <c r="L67" i="25"/>
  <c r="P33" i="25"/>
  <c r="I147" i="25"/>
  <c r="G149" i="25"/>
  <c r="G152" i="25"/>
  <c r="I149" i="25"/>
  <c r="G150" i="25"/>
  <c r="J165" i="25"/>
  <c r="G147" i="25"/>
  <c r="G148" i="25"/>
  <c r="I148" i="25"/>
  <c r="C20" i="48"/>
  <c r="N44" i="25"/>
  <c r="I146" i="25"/>
  <c r="G146" i="25"/>
  <c r="I150" i="25"/>
  <c r="K149" i="25"/>
  <c r="I160" i="25"/>
  <c r="G170" i="25"/>
  <c r="J170" i="25"/>
  <c r="K152" i="25"/>
  <c r="K151" i="25"/>
  <c r="K150" i="25"/>
  <c r="K147" i="25"/>
  <c r="G151" i="25"/>
  <c r="I152" i="25"/>
  <c r="K148" i="25"/>
  <c r="K146" i="25"/>
  <c r="B12" i="57"/>
  <c r="N93" i="2"/>
  <c r="N54" i="2"/>
  <c r="M242" i="2"/>
  <c r="O242" i="2"/>
  <c r="M246" i="2"/>
  <c r="O246" i="2"/>
  <c r="P54" i="2"/>
  <c r="P149" i="2"/>
  <c r="N59" i="2"/>
  <c r="N60" i="2"/>
  <c r="P60" i="2"/>
  <c r="L183" i="2"/>
  <c r="N79" i="2"/>
  <c r="P79" i="2"/>
  <c r="L179" i="2"/>
  <c r="I179" i="2"/>
  <c r="L180" i="2"/>
  <c r="I178" i="2"/>
  <c r="P90" i="2"/>
  <c r="F173" i="2"/>
  <c r="N58" i="2"/>
  <c r="P58" i="2"/>
  <c r="N53" i="2"/>
  <c r="P53" i="2"/>
  <c r="N110" i="2"/>
  <c r="N112" i="2"/>
  <c r="P112" i="2"/>
  <c r="P73" i="2"/>
  <c r="O218" i="2"/>
  <c r="M220" i="2"/>
  <c r="O220" i="2"/>
  <c r="M221" i="2"/>
  <c r="N178" i="2"/>
  <c r="L279" i="2"/>
  <c r="I183" i="2"/>
  <c r="I181" i="2"/>
  <c r="L178" i="2"/>
  <c r="B10" i="57"/>
  <c r="N52" i="2"/>
  <c r="P52" i="2"/>
  <c r="N78" i="2"/>
  <c r="P78" i="2"/>
  <c r="N91" i="2"/>
  <c r="P91" i="2"/>
  <c r="N136" i="2"/>
  <c r="P136" i="2"/>
  <c r="P150" i="2"/>
  <c r="L76" i="2"/>
  <c r="N118" i="2"/>
  <c r="P118" i="2"/>
  <c r="I184" i="2"/>
  <c r="I182" i="2"/>
  <c r="I180" i="2"/>
  <c r="L281" i="2"/>
  <c r="P133" i="2"/>
  <c r="N71" i="2"/>
  <c r="P71" i="2"/>
  <c r="N97" i="2"/>
  <c r="P97" i="2"/>
  <c r="L184" i="2"/>
  <c r="N182" i="2"/>
  <c r="N72" i="2"/>
  <c r="P72" i="2"/>
  <c r="P92" i="2"/>
  <c r="P132" i="2"/>
  <c r="N184" i="2"/>
  <c r="H275" i="2"/>
  <c r="O28" i="2"/>
  <c r="P70" i="2"/>
  <c r="L56" i="2"/>
  <c r="R40" i="2"/>
  <c r="L182" i="2"/>
  <c r="L116" i="2"/>
  <c r="L152" i="2"/>
  <c r="K212" i="2"/>
  <c r="E226" i="2"/>
  <c r="E228" i="2"/>
  <c r="K227" i="2"/>
  <c r="N183" i="2"/>
  <c r="L95" i="2"/>
  <c r="N74" i="2"/>
  <c r="P74" i="2"/>
  <c r="P93" i="2"/>
  <c r="P98" i="2"/>
  <c r="N119" i="2"/>
  <c r="N99" i="2"/>
  <c r="P99" i="2"/>
  <c r="P154" i="2"/>
  <c r="N155" i="2"/>
  <c r="P155" i="2"/>
  <c r="N117" i="2"/>
  <c r="N77" i="2"/>
  <c r="P77" i="2"/>
  <c r="N96" i="2"/>
  <c r="P96" i="2"/>
  <c r="N57" i="2"/>
  <c r="P57" i="2"/>
  <c r="N180" i="2"/>
  <c r="N179" i="2"/>
  <c r="P137" i="2"/>
  <c r="F212" i="2"/>
  <c r="N138" i="2"/>
  <c r="P138" i="2"/>
  <c r="D203" i="2"/>
  <c r="D204" i="2"/>
  <c r="P78" i="60"/>
  <c r="P91" i="60"/>
  <c r="P158" i="60"/>
  <c r="N162" i="60"/>
  <c r="P162" i="60"/>
  <c r="P161" i="60"/>
  <c r="N141" i="60"/>
  <c r="P141" i="60"/>
  <c r="N145" i="60"/>
  <c r="P145" i="60"/>
  <c r="P144" i="60"/>
  <c r="P124" i="60"/>
  <c r="N128" i="60"/>
  <c r="P128" i="60"/>
  <c r="P127" i="60"/>
  <c r="N111" i="60"/>
  <c r="P111" i="60"/>
  <c r="P110" i="60"/>
  <c r="N95" i="60"/>
  <c r="P95" i="60"/>
  <c r="P94" i="60"/>
  <c r="N99" i="60"/>
  <c r="P99" i="60"/>
  <c r="N115" i="60"/>
  <c r="P115" i="60"/>
  <c r="P107" i="60"/>
  <c r="N83" i="60"/>
  <c r="P83" i="60"/>
  <c r="P84" i="60"/>
  <c r="N85" i="60"/>
  <c r="P85" i="60"/>
  <c r="R86" i="60"/>
  <c r="O14" i="60"/>
  <c r="N183" i="60"/>
  <c r="P183" i="60"/>
  <c r="N52" i="60"/>
  <c r="N67" i="60"/>
  <c r="P178" i="60"/>
  <c r="O247" i="2"/>
  <c r="O248" i="2"/>
  <c r="O24" i="2"/>
  <c r="P16" i="51"/>
  <c r="O20" i="51"/>
  <c r="O21" i="51"/>
  <c r="O23" i="51"/>
  <c r="J7" i="22"/>
  <c r="K7" i="22"/>
  <c r="C14" i="57"/>
  <c r="G15" i="57"/>
  <c r="P174" i="60"/>
  <c r="N175" i="60"/>
  <c r="P175" i="60"/>
  <c r="P62" i="60"/>
  <c r="P59" i="60"/>
  <c r="N60" i="60"/>
  <c r="P60" i="60"/>
  <c r="P44" i="60"/>
  <c r="J217" i="60"/>
  <c r="N132" i="60"/>
  <c r="P132" i="60"/>
  <c r="N217" i="60"/>
  <c r="N166" i="60"/>
  <c r="P166" i="60"/>
  <c r="L223" i="59"/>
  <c r="O26" i="59"/>
  <c r="I196" i="59"/>
  <c r="O22" i="59"/>
  <c r="E168" i="59"/>
  <c r="E170" i="59"/>
  <c r="P101" i="59"/>
  <c r="N102" i="59"/>
  <c r="P102" i="59"/>
  <c r="F150" i="59"/>
  <c r="E155" i="59"/>
  <c r="O17" i="59"/>
  <c r="K163" i="59"/>
  <c r="O163" i="59"/>
  <c r="Q164" i="59"/>
  <c r="O18" i="59"/>
  <c r="P83" i="59"/>
  <c r="N84" i="59"/>
  <c r="P84" i="59"/>
  <c r="N88" i="59"/>
  <c r="P88" i="59"/>
  <c r="P68" i="59"/>
  <c r="P87" i="59"/>
  <c r="P64" i="59"/>
  <c r="N65" i="59"/>
  <c r="P65" i="59"/>
  <c r="M136" i="59"/>
  <c r="O136" i="59"/>
  <c r="J136" i="59"/>
  <c r="E15" i="57"/>
  <c r="M19" i="25"/>
  <c r="N96" i="25"/>
  <c r="N50" i="25"/>
  <c r="N99" i="25"/>
  <c r="L100" i="25"/>
  <c r="N100" i="25"/>
  <c r="N80" i="25"/>
  <c r="L84" i="25"/>
  <c r="N84" i="25"/>
  <c r="N83" i="25"/>
  <c r="L68" i="25"/>
  <c r="N68" i="25"/>
  <c r="N67" i="25"/>
  <c r="N46" i="25"/>
  <c r="L47" i="25"/>
  <c r="N47" i="25"/>
  <c r="G171" i="25"/>
  <c r="J171" i="25"/>
  <c r="G153" i="25"/>
  <c r="L55" i="25"/>
  <c r="J169" i="25"/>
  <c r="D130" i="25"/>
  <c r="F178" i="25"/>
  <c r="J178" i="25"/>
  <c r="I153" i="25"/>
  <c r="K153" i="25"/>
  <c r="P151" i="2"/>
  <c r="N152" i="2"/>
  <c r="P152" i="2"/>
  <c r="P59" i="2"/>
  <c r="N80" i="2"/>
  <c r="P80" i="2"/>
  <c r="P94" i="2"/>
  <c r="N95" i="2"/>
  <c r="P95" i="2"/>
  <c r="P75" i="2"/>
  <c r="N76" i="2"/>
  <c r="P76" i="2"/>
  <c r="P117" i="2"/>
  <c r="P55" i="2"/>
  <c r="N56" i="2"/>
  <c r="P56" i="2"/>
  <c r="I250" i="2"/>
  <c r="G259" i="2"/>
  <c r="P134" i="2"/>
  <c r="N135" i="2"/>
  <c r="P135" i="2"/>
  <c r="L185" i="2"/>
  <c r="N103" i="2"/>
  <c r="P103" i="2"/>
  <c r="L282" i="2"/>
  <c r="O29" i="2"/>
  <c r="N114" i="2"/>
  <c r="P114" i="2"/>
  <c r="N113" i="2"/>
  <c r="P113" i="2"/>
  <c r="P110" i="2"/>
  <c r="I185" i="2"/>
  <c r="N84" i="2"/>
  <c r="P84" i="2"/>
  <c r="K228" i="2"/>
  <c r="N228" i="2"/>
  <c r="N227" i="2"/>
  <c r="N120" i="2"/>
  <c r="P120" i="2"/>
  <c r="P119" i="2"/>
  <c r="N185" i="2"/>
  <c r="H236" i="2"/>
  <c r="H237" i="2"/>
  <c r="M205" i="2"/>
  <c r="M206" i="2"/>
  <c r="L15" i="57"/>
  <c r="N15" i="57"/>
  <c r="P167" i="60"/>
  <c r="N168" i="60"/>
  <c r="P168" i="60"/>
  <c r="R169" i="60"/>
  <c r="O19" i="60"/>
  <c r="P150" i="60"/>
  <c r="N151" i="60"/>
  <c r="P151" i="60"/>
  <c r="R152" i="60"/>
  <c r="O18" i="60"/>
  <c r="P133" i="60"/>
  <c r="N134" i="60"/>
  <c r="P134" i="60"/>
  <c r="R135" i="60"/>
  <c r="O17" i="60"/>
  <c r="P100" i="60"/>
  <c r="N101" i="60"/>
  <c r="P101" i="60"/>
  <c r="R102" i="60"/>
  <c r="O15" i="60"/>
  <c r="P67" i="60"/>
  <c r="P68" i="60"/>
  <c r="N69" i="60"/>
  <c r="P69" i="60"/>
  <c r="R70" i="60"/>
  <c r="O13" i="60"/>
  <c r="P116" i="60"/>
  <c r="N117" i="60"/>
  <c r="P117" i="60"/>
  <c r="R118" i="60"/>
  <c r="O16" i="60"/>
  <c r="P52" i="60"/>
  <c r="P15" i="57"/>
  <c r="H15" i="57"/>
  <c r="O15" i="57"/>
  <c r="M15" i="57"/>
  <c r="I15" i="57"/>
  <c r="K15" i="57"/>
  <c r="L88" i="25"/>
  <c r="L120" i="25"/>
  <c r="N120" i="25"/>
  <c r="N121" i="25"/>
  <c r="L122" i="25"/>
  <c r="N122" i="25"/>
  <c r="P123" i="25"/>
  <c r="M17" i="25"/>
  <c r="F15" i="57"/>
  <c r="J15" i="57"/>
  <c r="P184" i="60"/>
  <c r="N185" i="60"/>
  <c r="P185" i="60"/>
  <c r="R186" i="60"/>
  <c r="O20" i="60"/>
  <c r="N45" i="60"/>
  <c r="P45" i="60"/>
  <c r="P53" i="60"/>
  <c r="N54" i="60"/>
  <c r="P54" i="60"/>
  <c r="R55" i="60"/>
  <c r="K169" i="59"/>
  <c r="N169" i="59"/>
  <c r="K170" i="59"/>
  <c r="N170" i="59"/>
  <c r="N109" i="59"/>
  <c r="P109" i="59"/>
  <c r="L104" i="25"/>
  <c r="N92" i="59"/>
  <c r="P92" i="59"/>
  <c r="P93" i="59"/>
  <c r="N94" i="59"/>
  <c r="P94" i="59"/>
  <c r="R95" i="59"/>
  <c r="O13" i="59"/>
  <c r="N105" i="59"/>
  <c r="P105" i="59"/>
  <c r="P104" i="59"/>
  <c r="N73" i="59"/>
  <c r="P73" i="59"/>
  <c r="P74" i="59"/>
  <c r="N75" i="59"/>
  <c r="P75" i="59"/>
  <c r="R76" i="59"/>
  <c r="O12" i="59"/>
  <c r="C27" i="48"/>
  <c r="C42" i="48"/>
  <c r="F256" i="60"/>
  <c r="K256" i="60"/>
  <c r="H257" i="60"/>
  <c r="O23" i="60"/>
  <c r="I179" i="25"/>
  <c r="M22" i="25"/>
  <c r="J179" i="25"/>
  <c r="G172" i="25"/>
  <c r="J172" i="25"/>
  <c r="I174" i="25"/>
  <c r="M21" i="25"/>
  <c r="N104" i="25"/>
  <c r="N105" i="25"/>
  <c r="L106" i="25"/>
  <c r="N106" i="25"/>
  <c r="P107" i="25"/>
  <c r="M16" i="25"/>
  <c r="N88" i="25"/>
  <c r="N89" i="25"/>
  <c r="L90" i="25"/>
  <c r="N90" i="25"/>
  <c r="P91" i="25"/>
  <c r="N55" i="25"/>
  <c r="N56" i="25"/>
  <c r="L57" i="25"/>
  <c r="N57" i="25"/>
  <c r="P58" i="25"/>
  <c r="M12" i="25"/>
  <c r="L72" i="25"/>
  <c r="N72" i="25"/>
  <c r="N73" i="25"/>
  <c r="L74" i="25"/>
  <c r="N74" i="25"/>
  <c r="P75" i="25"/>
  <c r="M13" i="25"/>
  <c r="N124" i="2"/>
  <c r="P124" i="2"/>
  <c r="O23" i="2"/>
  <c r="P85" i="2"/>
  <c r="N64" i="2"/>
  <c r="P64" i="2"/>
  <c r="P65" i="2"/>
  <c r="N66" i="2"/>
  <c r="P66" i="2"/>
  <c r="R67" i="2"/>
  <c r="O12" i="2"/>
  <c r="P104" i="2"/>
  <c r="N105" i="2"/>
  <c r="P105" i="2"/>
  <c r="R106" i="2"/>
  <c r="O14" i="2"/>
  <c r="P115" i="2"/>
  <c r="N116" i="2"/>
  <c r="P116" i="2"/>
  <c r="N229" i="2"/>
  <c r="O22" i="2"/>
  <c r="F208" i="2"/>
  <c r="F213" i="2"/>
  <c r="K221" i="2"/>
  <c r="O221" i="2"/>
  <c r="Q222" i="2"/>
  <c r="N159" i="2"/>
  <c r="P159" i="2"/>
  <c r="P160" i="2"/>
  <c r="N142" i="2"/>
  <c r="P142" i="2"/>
  <c r="P143" i="2"/>
  <c r="I255" i="2"/>
  <c r="G260" i="2"/>
  <c r="Q15" i="57"/>
  <c r="P125" i="2"/>
  <c r="O12" i="60"/>
  <c r="O11" i="60"/>
  <c r="O24" i="60"/>
  <c r="N171" i="59"/>
  <c r="P110" i="59"/>
  <c r="N111" i="59"/>
  <c r="P111" i="59"/>
  <c r="R112" i="59"/>
  <c r="O14" i="59"/>
  <c r="M18" i="25"/>
  <c r="O11" i="59"/>
  <c r="J174" i="25"/>
  <c r="M14" i="25"/>
  <c r="M15" i="25"/>
  <c r="O25" i="2"/>
  <c r="O21" i="2"/>
  <c r="O20" i="2"/>
  <c r="N86" i="2"/>
  <c r="P86" i="2"/>
  <c r="R87" i="2"/>
  <c r="O13" i="2"/>
  <c r="N126" i="2"/>
  <c r="P126" i="2"/>
  <c r="R127" i="2"/>
  <c r="O15" i="2"/>
  <c r="N144" i="2"/>
  <c r="P144" i="2"/>
  <c r="R145" i="2"/>
  <c r="O16" i="2"/>
  <c r="N161" i="2"/>
  <c r="P161" i="2"/>
  <c r="R162" i="2"/>
  <c r="O17" i="2"/>
  <c r="G269" i="2"/>
  <c r="G270" i="2"/>
  <c r="O27" i="2"/>
  <c r="G265" i="2"/>
  <c r="O19" i="59"/>
  <c r="O16" i="59"/>
  <c r="O15" i="59"/>
  <c r="O27" i="59"/>
  <c r="M11" i="25"/>
  <c r="M23" i="25"/>
  <c r="N181" i="25"/>
  <c r="N182" i="25"/>
  <c r="N184" i="25"/>
  <c r="J6" i="22"/>
  <c r="K6" i="22"/>
  <c r="C12" i="57"/>
  <c r="L13" i="57"/>
  <c r="O11" i="2"/>
  <c r="O26" i="2"/>
  <c r="O19" i="2"/>
  <c r="R11" i="59"/>
  <c r="P225" i="59"/>
  <c r="P226" i="59"/>
  <c r="P228" i="59"/>
  <c r="J9" i="22"/>
  <c r="K9" i="22"/>
  <c r="C18" i="57"/>
  <c r="J19" i="57"/>
  <c r="P259" i="60"/>
  <c r="P260" i="60"/>
  <c r="P262" i="60"/>
  <c r="J8" i="22"/>
  <c r="K8" i="22"/>
  <c r="C16" i="57"/>
  <c r="R23" i="60"/>
  <c r="R11" i="60"/>
  <c r="R22" i="60"/>
  <c r="R21" i="60"/>
  <c r="R25" i="59"/>
  <c r="R15" i="59"/>
  <c r="R16" i="59"/>
  <c r="R26" i="59"/>
  <c r="F13" i="57"/>
  <c r="P13" i="57"/>
  <c r="J13" i="57"/>
  <c r="N13" i="57"/>
  <c r="M13" i="57"/>
  <c r="I13" i="57"/>
  <c r="H13" i="57"/>
  <c r="E13" i="57"/>
  <c r="G13" i="57"/>
  <c r="K13" i="57"/>
  <c r="O13" i="57"/>
  <c r="O18" i="2"/>
  <c r="H19" i="57"/>
  <c r="K19" i="57"/>
  <c r="M19" i="57"/>
  <c r="P19" i="57"/>
  <c r="I19" i="57"/>
  <c r="E19" i="57"/>
  <c r="N19" i="57"/>
  <c r="F19" i="57"/>
  <c r="H17" i="57"/>
  <c r="J17" i="57"/>
  <c r="N17" i="57"/>
  <c r="G17" i="57"/>
  <c r="F17" i="57"/>
  <c r="K17" i="57"/>
  <c r="O17" i="57"/>
  <c r="M17" i="57"/>
  <c r="P17" i="57"/>
  <c r="I17" i="57"/>
  <c r="L17" i="57"/>
  <c r="E17" i="57"/>
  <c r="G19" i="57"/>
  <c r="L19" i="57"/>
  <c r="O19" i="57"/>
  <c r="Q13" i="57"/>
  <c r="P11" i="25"/>
  <c r="P19" i="25"/>
  <c r="P18" i="25"/>
  <c r="O30" i="2"/>
  <c r="R18" i="2"/>
  <c r="Q17" i="57"/>
  <c r="Q19" i="57"/>
  <c r="P285" i="2"/>
  <c r="P286" i="2"/>
  <c r="P288" i="2"/>
  <c r="J5" i="22"/>
  <c r="K5" i="22"/>
  <c r="R28" i="2"/>
  <c r="R29" i="2"/>
  <c r="R11" i="2"/>
  <c r="R19" i="2"/>
  <c r="C10" i="57"/>
  <c r="J10" i="22"/>
  <c r="J11" i="22"/>
  <c r="Q11" i="57"/>
  <c r="Q20" i="57"/>
  <c r="H11" i="57"/>
  <c r="H20" i="57"/>
  <c r="M11" i="57"/>
  <c r="M20" i="57"/>
  <c r="N11" i="57"/>
  <c r="N20" i="57"/>
  <c r="C20" i="57"/>
  <c r="D10" i="57"/>
  <c r="E11" i="57"/>
  <c r="E20" i="57"/>
  <c r="O11" i="57"/>
  <c r="O20" i="57"/>
  <c r="J11" i="57"/>
  <c r="J20" i="57"/>
  <c r="K11" i="57"/>
  <c r="K20" i="57"/>
  <c r="L11" i="57"/>
  <c r="L20" i="57"/>
  <c r="G11" i="57"/>
  <c r="G20" i="57"/>
  <c r="P11" i="57"/>
  <c r="P20" i="57"/>
  <c r="F11" i="57"/>
  <c r="F20" i="57"/>
  <c r="I11" i="57"/>
  <c r="I20" i="57"/>
  <c r="F21" i="57"/>
  <c r="K21" i="57"/>
  <c r="N21" i="57"/>
  <c r="G21" i="57"/>
  <c r="M21" i="57"/>
  <c r="J21" i="57"/>
  <c r="O21" i="57"/>
  <c r="I21" i="57"/>
  <c r="L21" i="57"/>
  <c r="E21" i="57"/>
  <c r="E22" i="57"/>
  <c r="F22" i="57"/>
  <c r="H21" i="57"/>
  <c r="P21" i="57"/>
  <c r="D16" i="57"/>
  <c r="D12" i="57"/>
  <c r="D18" i="57"/>
  <c r="D14" i="57"/>
  <c r="G22" i="57"/>
  <c r="H22" i="57"/>
  <c r="I22" i="57"/>
  <c r="J22" i="57"/>
  <c r="K22" i="57"/>
  <c r="L22" i="57"/>
  <c r="M22" i="57"/>
  <c r="N22" i="57"/>
  <c r="O22" i="57"/>
  <c r="P22" i="57"/>
  <c r="D20" i="57"/>
</calcChain>
</file>

<file path=xl/sharedStrings.xml><?xml version="1.0" encoding="utf-8"?>
<sst xmlns="http://schemas.openxmlformats.org/spreadsheetml/2006/main" count="1938" uniqueCount="682">
  <si>
    <t>Salário minimo vigente</t>
  </si>
  <si>
    <t>Encargos Sociais</t>
  </si>
  <si>
    <t>Botina</t>
  </si>
  <si>
    <t>Função</t>
  </si>
  <si>
    <t>Cesta básica</t>
  </si>
  <si>
    <t xml:space="preserve">Vale transporte </t>
  </si>
  <si>
    <t>Seguro Vida</t>
  </si>
  <si>
    <t>BDI</t>
  </si>
  <si>
    <t>QUANTIDADE</t>
  </si>
  <si>
    <t>DADOS    ELEMENTARES    DO    VEÍCULO</t>
  </si>
  <si>
    <t>Coeficiente  de  Manutenção</t>
  </si>
  <si>
    <t>Motorista</t>
  </si>
  <si>
    <t>COMBUSTÍVEL</t>
  </si>
  <si>
    <t>UNIFORMES/EPI'S</t>
  </si>
  <si>
    <t>Boné</t>
  </si>
  <si>
    <t>Luva de raspa</t>
  </si>
  <si>
    <t>CUSTO UNIT.</t>
  </si>
  <si>
    <t>Gerente Geral</t>
  </si>
  <si>
    <t>PLANILHA ORÇAMENTÁRIA</t>
  </si>
  <si>
    <t>TOTAL</t>
  </si>
  <si>
    <t>TOTAL ANUAL</t>
  </si>
  <si>
    <t>TOTAL MENSAL</t>
  </si>
  <si>
    <t>Nº</t>
  </si>
  <si>
    <t>Descrição do Serviço</t>
  </si>
  <si>
    <t>Unidade</t>
  </si>
  <si>
    <t>Qtd Mensal</t>
  </si>
  <si>
    <t>R$ Unitário</t>
  </si>
  <si>
    <t>R$ TOTAL</t>
  </si>
  <si>
    <t>TON.</t>
  </si>
  <si>
    <t xml:space="preserve">PLANILHA COMPOSIÇÃO PREÇOS </t>
  </si>
  <si>
    <t>Calça de brim c/ refletor</t>
  </si>
  <si>
    <t>Camisa de malha c/ refletor</t>
  </si>
  <si>
    <t>PREÇO TOTAL</t>
  </si>
  <si>
    <t>CONS./ MÊS</t>
  </si>
  <si>
    <t xml:space="preserve">Custo Total </t>
  </si>
  <si>
    <t>Total</t>
  </si>
  <si>
    <t>Quantidade</t>
  </si>
  <si>
    <t>Valor de Aqusição</t>
  </si>
  <si>
    <t>Valor do Chassi</t>
  </si>
  <si>
    <t xml:space="preserve">Valor do compactador </t>
  </si>
  <si>
    <t>Custo de Veículo de Fiscalização dos Serviços</t>
  </si>
  <si>
    <t>VEÍCULO</t>
  </si>
  <si>
    <t>Custo com Ferramentas</t>
  </si>
  <si>
    <t>Vassoura</t>
  </si>
  <si>
    <t>Pá</t>
  </si>
  <si>
    <t>Cone</t>
  </si>
  <si>
    <t>Custo Total  Com  Ferramentas</t>
  </si>
  <si>
    <t>VIDA UTIL</t>
  </si>
  <si>
    <t>TIPO</t>
  </si>
  <si>
    <t>TOTAL DO CUSTO OPERACIONAL</t>
  </si>
  <si>
    <t>QUANTIDADE MENSAL</t>
  </si>
  <si>
    <t>PREÇO UNITÁRIO</t>
  </si>
  <si>
    <t>Gari Varredor</t>
  </si>
  <si>
    <t>Motorista Van</t>
  </si>
  <si>
    <t>Fiscal de Turma</t>
  </si>
  <si>
    <t xml:space="preserve">PLANILHA REFERENCIA UNIFORMES / EPI'S </t>
  </si>
  <si>
    <t>PLANILHA REFERENCIA UNIFORMES / EPI'S</t>
  </si>
  <si>
    <t>Gari Coletor</t>
  </si>
  <si>
    <t>Locação de van  16 lugares - Incluindo Manutenção e combustivel</t>
  </si>
  <si>
    <t xml:space="preserve">Van  16 lugares </t>
  </si>
  <si>
    <t>Custo Total  Com Van p/ Transporte funcionários</t>
  </si>
  <si>
    <t>Locação de Motocicleta  para fiscalização dos Serviços - Incluindo Manutenção e combustivel</t>
  </si>
  <si>
    <t xml:space="preserve">Motocicletas de 125 cilindradas </t>
  </si>
  <si>
    <t>Custo Total  Com Motocicleta  Fiscalização</t>
  </si>
  <si>
    <t>Saco Plástico</t>
  </si>
  <si>
    <t>FERRAMENTAS</t>
  </si>
  <si>
    <t>LUTOCAR EM PEAD 120 LITROS</t>
  </si>
  <si>
    <t>Ajudante</t>
  </si>
  <si>
    <t>Insalubridade</t>
  </si>
  <si>
    <t>Descrição</t>
  </si>
  <si>
    <t>Encarregado Operacional Geral</t>
  </si>
  <si>
    <t>Tec. Seg. Trabalho</t>
  </si>
  <si>
    <t>Mecânico</t>
  </si>
  <si>
    <t>Vigia Noturno</t>
  </si>
  <si>
    <t xml:space="preserve">Lavador / Lubrificador </t>
  </si>
  <si>
    <t xml:space="preserve">Macacão Impermeável </t>
  </si>
  <si>
    <t>Máscara para filtro químico</t>
  </si>
  <si>
    <t xml:space="preserve">Máscara Contra Poeira </t>
  </si>
  <si>
    <t>ENCARGOS SOCIAIS</t>
  </si>
  <si>
    <t>Composição Analitica</t>
  </si>
  <si>
    <t>ITEM</t>
  </si>
  <si>
    <t>DESCRIÇÃO</t>
  </si>
  <si>
    <t>TAXA</t>
  </si>
  <si>
    <t>GRUPO "A" - ENCARGOS SOCIAIS BÁSICOS</t>
  </si>
  <si>
    <t>A.1</t>
  </si>
  <si>
    <t>Previdência Socila (INSS)</t>
  </si>
  <si>
    <t>A.2</t>
  </si>
  <si>
    <t>SESI</t>
  </si>
  <si>
    <t>A.3</t>
  </si>
  <si>
    <t>SENAI</t>
  </si>
  <si>
    <t>A.4</t>
  </si>
  <si>
    <t>INCRA</t>
  </si>
  <si>
    <t>A.5</t>
  </si>
  <si>
    <t>SEBRAE</t>
  </si>
  <si>
    <t>A.6</t>
  </si>
  <si>
    <t>Salário - Educação</t>
  </si>
  <si>
    <t>A.7</t>
  </si>
  <si>
    <t>Seguro Contra acidente de trabalho</t>
  </si>
  <si>
    <t>A.8</t>
  </si>
  <si>
    <t>FGTS</t>
  </si>
  <si>
    <t>A.9</t>
  </si>
  <si>
    <t>Sindicato</t>
  </si>
  <si>
    <t>SUBTOTAL DO GRUPO "A"</t>
  </si>
  <si>
    <t>GRUPO "B" - ENCARGOS SOCIAIS QUE RECEBEM INCIDÊNCIA DE "A"</t>
  </si>
  <si>
    <t>B.1</t>
  </si>
  <si>
    <t>Repouso Semanal Remunerado</t>
  </si>
  <si>
    <t>B.2</t>
  </si>
  <si>
    <t>Feriados</t>
  </si>
  <si>
    <t>B.3</t>
  </si>
  <si>
    <t xml:space="preserve">Aviso Prévio </t>
  </si>
  <si>
    <t>B.4</t>
  </si>
  <si>
    <t>Auxilio Enfemidade</t>
  </si>
  <si>
    <t>B.5</t>
  </si>
  <si>
    <t>13º Salário</t>
  </si>
  <si>
    <t>B.6</t>
  </si>
  <si>
    <t>Licença Paternidade</t>
  </si>
  <si>
    <t>B.7</t>
  </si>
  <si>
    <t>Ausencias Abonadas/ Dias de Chuvas</t>
  </si>
  <si>
    <t>SUBTOTAL DO GRUPO "B"</t>
  </si>
  <si>
    <t>GRUPO "C" - ENCARGOS SOCIAIS QUE NÃO RECEBEM INCIDÊNCIAS GLOBAIS DO GRUPO "A"</t>
  </si>
  <si>
    <t>C.1</t>
  </si>
  <si>
    <t>Deposito rescisão sem justa causa</t>
  </si>
  <si>
    <t>C.2</t>
  </si>
  <si>
    <t>Férias indenizadas</t>
  </si>
  <si>
    <t>SUBTOTAL DO GRUPO "C"</t>
  </si>
  <si>
    <t>GRUPO "D" - TAXAS DAS REINCIDÊNCIAS DE "A" SOBRE "B"</t>
  </si>
  <si>
    <t>D.1</t>
  </si>
  <si>
    <t>REINCIDÊNCIAS DE "A" SOBRE "B"</t>
  </si>
  <si>
    <t>SUBTOTAL DO GRUPO "D"</t>
  </si>
  <si>
    <t>TOTAL GERAL</t>
  </si>
  <si>
    <t>COFINS =</t>
  </si>
  <si>
    <t>PIS =</t>
  </si>
  <si>
    <t>ISS =</t>
  </si>
  <si>
    <t xml:space="preserve">BDI = </t>
  </si>
  <si>
    <t>PLANILHA COMPOSIÇÃO DE CUSTOS</t>
  </si>
  <si>
    <t>PREFEITURA MUNICIPAL DE CARATINGA</t>
  </si>
  <si>
    <t xml:space="preserve">PROCESSO LICITATÓRIO Nº XXX/2019 </t>
  </si>
  <si>
    <t xml:space="preserve">CONCORRÊNCIA Nº XXX/2019 </t>
  </si>
  <si>
    <t>DADOS:</t>
  </si>
  <si>
    <t>Veículos Coletores:</t>
  </si>
  <si>
    <t>Frotas:</t>
  </si>
  <si>
    <t>1 Caminhão Reserva</t>
  </si>
  <si>
    <t>Equipe:</t>
  </si>
  <si>
    <t>1 Motorista / 3 Coletores</t>
  </si>
  <si>
    <t>Coleta Diurna:</t>
  </si>
  <si>
    <t>Viagem por veículo por turno</t>
  </si>
  <si>
    <t>Toneladas por viagem</t>
  </si>
  <si>
    <t>Dias úteis no mês</t>
  </si>
  <si>
    <t>DISTRIBUIÇÃO DA COLETA</t>
  </si>
  <si>
    <t>Coleta Noturna:</t>
  </si>
  <si>
    <t>Coleta no período diurno:</t>
  </si>
  <si>
    <t>Coleta no período noturno:</t>
  </si>
  <si>
    <t>Total de Veículos:</t>
  </si>
  <si>
    <t>Frota  =  (Quant. De resíduos no turno ÷ dias uteis ÷ Quant. Viagens ÷ Toneladas p/ viagem)</t>
  </si>
  <si>
    <t>Reserva técnica :</t>
  </si>
  <si>
    <t xml:space="preserve">DIMENSIONAMENTO DA FROTA </t>
  </si>
  <si>
    <t>Compactador 15 m³</t>
  </si>
  <si>
    <t>Veículos</t>
  </si>
  <si>
    <t>Veículo</t>
  </si>
  <si>
    <t>Fiscal</t>
  </si>
  <si>
    <t>CUSTOS OPERACIONAIS COM VEÍCULOS</t>
  </si>
  <si>
    <t>Consumo Médio</t>
  </si>
  <si>
    <t>Km/Mês</t>
  </si>
  <si>
    <t>CUSTO COM MANUTENÇÃO</t>
  </si>
  <si>
    <t>Valor de aquisição</t>
  </si>
  <si>
    <t>Vida Útil em meses</t>
  </si>
  <si>
    <t>CUSTO COM COMBUSTÍVEL E LUBRIFICANTES</t>
  </si>
  <si>
    <t>CUSTO COM LAVAGEM</t>
  </si>
  <si>
    <t>Custo Mensal de Lavagem</t>
  </si>
  <si>
    <t>CUSTO COM LICENCIAMENTO SEGUROS E IPVA</t>
  </si>
  <si>
    <t>Coeficiente Médio (IPVA) 1%</t>
  </si>
  <si>
    <t>Licenciamento</t>
  </si>
  <si>
    <t>DPVAT</t>
  </si>
  <si>
    <t>CUSTO COM DEPRECIAÇÃO</t>
  </si>
  <si>
    <t>Valor do Lifter</t>
  </si>
  <si>
    <t>Caminhão Compactador 15m²</t>
  </si>
  <si>
    <t>R$ Lubrificantes (15%)</t>
  </si>
  <si>
    <t xml:space="preserve">Quantidade de Veículos </t>
  </si>
  <si>
    <t>QUILOMETRAGEM ESTIMADA</t>
  </si>
  <si>
    <t>Dias/mês</t>
  </si>
  <si>
    <t xml:space="preserve">Km/veiculo/dia </t>
  </si>
  <si>
    <t>Km por mês</t>
  </si>
  <si>
    <t xml:space="preserve">Coleta Diurna e Noturna </t>
  </si>
  <si>
    <t>Total Mensal de Combustível</t>
  </si>
  <si>
    <t xml:space="preserve">CUSTO COM PNEUS CAMINHÃO COMPACTADOR </t>
  </si>
  <si>
    <t xml:space="preserve">Descrição </t>
  </si>
  <si>
    <t>Valor da Mant. p/ Rota</t>
  </si>
  <si>
    <t xml:space="preserve">Valor Total </t>
  </si>
  <si>
    <t>Rotas Diurnas</t>
  </si>
  <si>
    <t xml:space="preserve">Rotas Noturnas </t>
  </si>
  <si>
    <t xml:space="preserve">CUSTO TOTAL MENSAL COM MANUTENÇÃO </t>
  </si>
  <si>
    <t>Consumo Mensal de Manutenção</t>
  </si>
  <si>
    <t>Média de Lavagens/mês</t>
  </si>
  <si>
    <t xml:space="preserve">Preço unitário por lavagem </t>
  </si>
  <si>
    <t>Custo Total de Lavagem</t>
  </si>
  <si>
    <t>Valor Total</t>
  </si>
  <si>
    <t>Custo Mensal de Licenciamento e Seguro</t>
  </si>
  <si>
    <t>Valor de aquisição do Chassis</t>
  </si>
  <si>
    <t>Valor residual</t>
  </si>
  <si>
    <t xml:space="preserve">Vida útil em horas </t>
  </si>
  <si>
    <t xml:space="preserve">Horas Trabalhadas </t>
  </si>
  <si>
    <t>Quantidade de Veículos</t>
  </si>
  <si>
    <t>C= [(2+(n-1).(k+1))/24.n].j</t>
  </si>
  <si>
    <t>k = valor residual</t>
  </si>
  <si>
    <t>n = vida útil em anos</t>
  </si>
  <si>
    <t>j = % de juros (a.a.)</t>
  </si>
  <si>
    <t>C = coeficiente de remuneração do capital</t>
  </si>
  <si>
    <t xml:space="preserve">CUSTO DIRETO COM CUSTO DO CAPITAL </t>
  </si>
  <si>
    <t>Custo de Aquisição do Compactador</t>
  </si>
  <si>
    <t>Locação de Pick up para fiscalização dos Serviços - Incluindo Manutenção</t>
  </si>
  <si>
    <t>Custo Mensal de Pick up Fiscalização</t>
  </si>
  <si>
    <t>PREÇO</t>
  </si>
  <si>
    <t>R$ Diesel</t>
  </si>
  <si>
    <t>Instalação e Manutenção</t>
  </si>
  <si>
    <t>CUSTO COM MONITORAMENTO DO CAMINHÃO POR GPS VIA SATÉLITE</t>
  </si>
  <si>
    <t>SALÁRIO MÍNIMO</t>
  </si>
  <si>
    <t>Fonte:</t>
  </si>
  <si>
    <t>https://www.portalbrasil.net/salariominimo.htm</t>
  </si>
  <si>
    <t>ADMINISTRAÇÃO CENTRAL - (3,43% a 6,71%)</t>
  </si>
  <si>
    <t>SEGUROS E GARANTIAS - (0,28% a 0,75%)</t>
  </si>
  <si>
    <t>COMPOSIÇÃO DO BDI ( Bonificações e Despesas Indiretas)</t>
  </si>
  <si>
    <t>1)</t>
  </si>
  <si>
    <t>2)</t>
  </si>
  <si>
    <t xml:space="preserve">Adm. Central, Seguros e Garantia, Riscos </t>
  </si>
  <si>
    <t>Despesas Financeiras</t>
  </si>
  <si>
    <t>Lucros / Remuneração</t>
  </si>
  <si>
    <t xml:space="preserve">Impostos </t>
  </si>
  <si>
    <t>3)</t>
  </si>
  <si>
    <t>RISCOS - (1,00% a 1,74%)</t>
  </si>
  <si>
    <t>4)</t>
  </si>
  <si>
    <t>DESPESAS FINANCEIRAS - (0,94% a 1,17%)</t>
  </si>
  <si>
    <t>5)</t>
  </si>
  <si>
    <t>LUCRO / REMUNERAÇÃO (6,74% a 9,40%)</t>
  </si>
  <si>
    <t xml:space="preserve">6) </t>
  </si>
  <si>
    <t xml:space="preserve">IMPOSTOS </t>
  </si>
  <si>
    <t>Faixa Referencial</t>
  </si>
  <si>
    <t>1º Quartil</t>
  </si>
  <si>
    <t xml:space="preserve">Médio </t>
  </si>
  <si>
    <t>3º Quartil</t>
  </si>
  <si>
    <t>Salário/mês</t>
  </si>
  <si>
    <t>Motorista Caminhão Compactador</t>
  </si>
  <si>
    <t xml:space="preserve">BENEFICIOS </t>
  </si>
  <si>
    <t>Cesta de Natal</t>
  </si>
  <si>
    <t>Assistência Médica (Ambulatórial)</t>
  </si>
  <si>
    <t>Seguro de vida</t>
  </si>
  <si>
    <t>Camisa</t>
  </si>
  <si>
    <t>Sapato de proteção sem cano</t>
  </si>
  <si>
    <t>Capa de chuva em plástico</t>
  </si>
  <si>
    <t>Protetor solar FPS 30 UVA e UVB</t>
  </si>
  <si>
    <t>UNIFORMES/EPI</t>
  </si>
  <si>
    <t>R$ Unit.</t>
  </si>
  <si>
    <t>Cotação</t>
  </si>
  <si>
    <t>Lider Uniformes</t>
  </si>
  <si>
    <t>(33) 3321-9638</t>
  </si>
  <si>
    <t>JR Confecções</t>
  </si>
  <si>
    <t>(33) 3321-5125</t>
  </si>
  <si>
    <t xml:space="preserve">Provest Uniformes </t>
  </si>
  <si>
    <t xml:space="preserve">(31) 3826-5005 </t>
  </si>
  <si>
    <t>provest@provestuniformes.com.br</t>
  </si>
  <si>
    <t>Vale Vest Uniformes</t>
  </si>
  <si>
    <t>http://www.brafil10.com.br/servidor/uniformesvalevest/conteudo/orcamento.asp</t>
  </si>
  <si>
    <t> (31) 3822-1722 / (31) 3822-4803</t>
  </si>
  <si>
    <t>Tabela Fipe</t>
  </si>
  <si>
    <t>contato@ipatingacaminhoes.com.br</t>
  </si>
  <si>
    <t>Compactador</t>
  </si>
  <si>
    <t>Planalto</t>
  </si>
  <si>
    <t>Cimel</t>
  </si>
  <si>
    <t>Lifter</t>
  </si>
  <si>
    <t>https://precodoscombustiveis.com.br/</t>
  </si>
  <si>
    <t>PNEU</t>
  </si>
  <si>
    <t>http://grupojrpneus.com.br/area-de-atuacao</t>
  </si>
  <si>
    <t>https://lojagwpneus.com.br/loja/g/caminhoes</t>
  </si>
  <si>
    <t>31 3829-1450</t>
  </si>
  <si>
    <t>http://www.pneuscacique.com.br/</t>
  </si>
  <si>
    <t>Vale Alimentação</t>
  </si>
  <si>
    <t>Gasolina</t>
  </si>
  <si>
    <t>Diesel S10</t>
  </si>
  <si>
    <r>
      <rPr>
        <b/>
        <sz val="11"/>
        <color indexed="8"/>
        <rFont val="Arial Narrow"/>
        <family val="2"/>
      </rPr>
      <t>Posto Zacarias</t>
    </r>
    <r>
      <rPr>
        <sz val="11"/>
        <color indexed="8"/>
        <rFont val="Arial Narrow"/>
        <family val="2"/>
      </rPr>
      <t xml:space="preserve"> - Avenida Presidente Tancredo Neves, 2659 -Centro, Caratinga, MG</t>
    </r>
  </si>
  <si>
    <t>MEDIA DE PREÇO DE CIMBUSTÍVEL</t>
  </si>
  <si>
    <t>Pneu 275/80R22,5</t>
  </si>
  <si>
    <t>Recapagem</t>
  </si>
  <si>
    <t>Vale transporte Viação Rio Doce -  (33) 3329-2121</t>
  </si>
  <si>
    <t>coletor</t>
  </si>
  <si>
    <t>motorista</t>
  </si>
  <si>
    <t>Horas Extas 100%</t>
  </si>
  <si>
    <t>Horas Extas 50%</t>
  </si>
  <si>
    <t>Cesta Básica (coletor)</t>
  </si>
  <si>
    <t>Cesta Básica (motorista)</t>
  </si>
  <si>
    <t xml:space="preserve">Alimentação </t>
  </si>
  <si>
    <t>Protetor solar FPS 30 UVA/UVB</t>
  </si>
  <si>
    <t>Quant.</t>
  </si>
  <si>
    <t>Quantidade:</t>
  </si>
  <si>
    <t>2  Motocicletas</t>
  </si>
  <si>
    <t>2 Vans</t>
  </si>
  <si>
    <t>Gari Varredor (Diurno)</t>
  </si>
  <si>
    <t>Fiscal de Varrição (Diurno)</t>
  </si>
  <si>
    <t>Cesta Básica Coletor</t>
  </si>
  <si>
    <t>Cesta Básica Motorista</t>
  </si>
  <si>
    <t>QUAT.</t>
  </si>
  <si>
    <t>VALOR TOTAL</t>
  </si>
  <si>
    <t xml:space="preserve">Total  Com  LUTOCAR </t>
  </si>
  <si>
    <t>LUTOCAR</t>
  </si>
  <si>
    <t>2  Fiscais de Varrição</t>
  </si>
  <si>
    <t xml:space="preserve">DIMENSIONAMENTO DA MÃO DE OBRA </t>
  </si>
  <si>
    <t>Horas trabalhadas por dia</t>
  </si>
  <si>
    <t>Extensão Mensal - Sarjetas</t>
  </si>
  <si>
    <t>Dias úteis por mês</t>
  </si>
  <si>
    <t>Produtividade/Gari</t>
  </si>
  <si>
    <t>Nº de Varredores (Extensão mensal/trab.. dia / produtividade)</t>
  </si>
  <si>
    <t>Nº de Varredores Reserva 10%</t>
  </si>
  <si>
    <t>KM/ SARJETA/MÊS</t>
  </si>
  <si>
    <t>Enxadinha</t>
  </si>
  <si>
    <t>Exames Médicos</t>
  </si>
  <si>
    <t>Salário mínimo vigente</t>
  </si>
  <si>
    <t>Varredeira Mecânizada</t>
  </si>
  <si>
    <t>Seguro</t>
  </si>
  <si>
    <t>VARREDEIRA MECÂNICA</t>
  </si>
  <si>
    <t>CAMINHÃO PIPA</t>
  </si>
  <si>
    <t>contato@cofermeta.com.br</t>
  </si>
  <si>
    <t>Chefe de Turma</t>
  </si>
  <si>
    <t>PREÇO UNT.</t>
  </si>
  <si>
    <t>Fio de Nylon</t>
  </si>
  <si>
    <t>Faca</t>
  </si>
  <si>
    <t xml:space="preserve">Óleo Sthill </t>
  </si>
  <si>
    <t>UNIFORME</t>
  </si>
  <si>
    <t>Camisa de Tecido 67% algodão 33% poliester, sarja 3x1</t>
  </si>
  <si>
    <t>Calça</t>
  </si>
  <si>
    <t>Calça Brim com refletor</t>
  </si>
  <si>
    <t>QTD</t>
  </si>
  <si>
    <t xml:space="preserve">Custo com Lutocar </t>
  </si>
  <si>
    <t>DESCRIÇÃO DO ITEM</t>
  </si>
  <si>
    <t>UNIDADE</t>
  </si>
  <si>
    <t>VIDA UTIL (meses)</t>
  </si>
  <si>
    <t>und.</t>
  </si>
  <si>
    <t>CONTAINER EM PEAD 1000 LITROS</t>
  </si>
  <si>
    <t>Valor da locação do Caminhão hidrojateador -  Com manutenção</t>
  </si>
  <si>
    <t>VEÍCULO LEVE</t>
  </si>
  <si>
    <t xml:space="preserve">Especificação  UNIFORME </t>
  </si>
  <si>
    <t>Auxiliar  Administrativo</t>
  </si>
  <si>
    <t>Auxiliar de Serviços Gerais</t>
  </si>
  <si>
    <t>Almoxarife</t>
  </si>
  <si>
    <t>Total de Funcionarios</t>
  </si>
  <si>
    <t>Preço de Mercado</t>
  </si>
  <si>
    <t>Botina de Elástico com Bico Plástico N38 Vulcaflex 10VB48-BP - Marluvas</t>
  </si>
  <si>
    <t>Botina com elástico coberto, cabedal confeccionado em couro raspa curtido ao cromo com forração em tecido não tecido, palmilha de montagem em E.V.A fixada pelo processo strobel, solado PU Bidensidade preto injetado diretamente ao cabedal.</t>
  </si>
  <si>
    <t>Com bico polipropileno (plástico)</t>
  </si>
  <si>
    <t>Indicação: Indicada para a maioria das atividades. </t>
  </si>
  <si>
    <t>Certificado de aprovação: 28498</t>
  </si>
  <si>
    <t xml:space="preserve">Cofermeta -Av. Brasil, 90 Iguaçu -Tel: (31) 3829-6944 </t>
  </si>
  <si>
    <t>Luva Malha</t>
  </si>
  <si>
    <t>Utilizada para proteção das mãos no manuseio de ferramentas e peças em controle de qualidade</t>
  </si>
  <si>
    <t>Possui maior resistência, pois é fabricada com 4 fios. Conta com palma pigmentada que confere maior aderência (pega).</t>
  </si>
  <si>
    <t>Tamanho da luva:Único</t>
  </si>
  <si>
    <t>Número de fios da luva de malha:4 fios</t>
  </si>
  <si>
    <t>Cor da luva:Branca com pigmentos de PVC cor preta</t>
  </si>
  <si>
    <t>Número do Certificado de Aprovação - CA:Ref: VD-LMP - CA 14.921, Ref: LP 402 - CA 27.084, Ref: LMV - Branca pigmentada- CA 35.460</t>
  </si>
  <si>
    <t>Cor: branca com palma amarela</t>
  </si>
  <si>
    <t>Palma e dorso com revestimento nitrílico</t>
  </si>
  <si>
    <t>Forro e punho em algodão</t>
  </si>
  <si>
    <t>Composição: 45% algodão e 55% borracha nitrílica</t>
  </si>
  <si>
    <t>C.A: 30512</t>
  </si>
  <si>
    <t>Indicada para proteção das mãos do usuário contra produtos químicos.</t>
  </si>
  <si>
    <t>Luva Nitrilica</t>
  </si>
  <si>
    <t>Luva de Raspa</t>
  </si>
  <si>
    <t>Luva confeccionada em raspa com reforço interno na palma e dedos.</t>
  </si>
  <si>
    <t>Indicado para serviços médio e pesados.</t>
  </si>
  <si>
    <t>Utilização: nos mais diversos segmentos, desde a construção civil ate as áreas mais pesadas industria metalúrgica e também nos mais diversos serviços de manutenção.</t>
  </si>
  <si>
    <t>Oferecem proteção contra abrasivos, cortantes e perfurantes, calor e escoriantes</t>
  </si>
  <si>
    <t>Protetor Solar FPS30 U.V.A 17 120GR - LUVEX</t>
  </si>
  <si>
    <t> Age contra a ação nociva dos raios ultravioletas dos tipos UVA e UVB emitidas pelas radiações solares, pelas radiações provenientes de trabalhos com soldas elétricas e de outras máquinas e equipamentos que emitam este tipo de radiações.</t>
  </si>
  <si>
    <t>Capa de Chuva em PVC</t>
  </si>
  <si>
    <t>PVC LAMINADA</t>
  </si>
  <si>
    <t>ESPESSURA: 0,13 MM</t>
  </si>
  <si>
    <t>COMPRIMENTO: - GG: 1,35 M</t>
  </si>
  <si>
    <t>54.40.01</t>
  </si>
  <si>
    <t>SUDECAP</t>
  </si>
  <si>
    <t>LOCAÇÃO VEÍCULO TIPO PICAPE LEVE C/ SEGURO</t>
  </si>
  <si>
    <t>MES</t>
  </si>
  <si>
    <t>CÓDIGO</t>
  </si>
  <si>
    <t>ORIGEM</t>
  </si>
  <si>
    <t>DESCRICAO</t>
  </si>
  <si>
    <t>UND</t>
  </si>
  <si>
    <t>VALOR</t>
  </si>
  <si>
    <t>R$ MÊS</t>
  </si>
  <si>
    <t xml:space="preserve"> Combustível</t>
  </si>
  <si>
    <t>VEÍCULOS E EQUIPAMENROS</t>
  </si>
  <si>
    <t>CAMINHÃO COMPACTADOR 15 M³</t>
  </si>
  <si>
    <t>LIFTER</t>
  </si>
  <si>
    <t>50.10.08</t>
  </si>
  <si>
    <t>CHP/CAMINHAO BASCULANTE</t>
  </si>
  <si>
    <t>H</t>
  </si>
  <si>
    <t>LOCAÇÃO DE CAMINHÃO BASCULANTE</t>
  </si>
  <si>
    <t>QTD HORAS MÊS</t>
  </si>
  <si>
    <t>VALOR MENSAL DO CAMINHÃO</t>
  </si>
  <si>
    <t>CAMINHÃO BASCULANTE 6M³</t>
  </si>
  <si>
    <t xml:space="preserve">FERRAMENTAS E MATERIAIS </t>
  </si>
  <si>
    <t>Luva de malha</t>
  </si>
  <si>
    <t>Saco Plástico (100 Unidades)</t>
  </si>
  <si>
    <t>SLU - Brasilia</t>
  </si>
  <si>
    <t>50.10.36</t>
  </si>
  <si>
    <t>CHP/CAMINHAO TANQUE, 6.000L</t>
  </si>
  <si>
    <t>Perneira de segurança confeccionada em raspa, com metatarso, fechamento em velcro.</t>
  </si>
  <si>
    <t>C.A: 10512  </t>
  </si>
  <si>
    <t>Material da haste do abafador de ruído: Plástico ABS</t>
  </si>
  <si>
    <r>
      <t>Aplicações e Dicas de uso:</t>
    </r>
    <r>
      <rPr>
        <sz val="11"/>
        <color indexed="63"/>
        <rFont val="Inherit"/>
      </rPr>
      <t> </t>
    </r>
  </si>
  <si>
    <t>Indicado para redução da Exposição a ruídos em ambiemtes perigosos</t>
  </si>
  <si>
    <t>e demais sons não desejados</t>
  </si>
  <si>
    <t>Filtra 99.9% ultravioleta.</t>
  </si>
  <si>
    <t>RASTELO</t>
  </si>
  <si>
    <t>ENXADA</t>
  </si>
  <si>
    <t>ENXADINHA</t>
  </si>
  <si>
    <t>CARRINHO DE MÃO</t>
  </si>
  <si>
    <t>CHIBANCA</t>
  </si>
  <si>
    <t>GARFO</t>
  </si>
  <si>
    <t>50.20.06</t>
  </si>
  <si>
    <t>CHP/RETRO-ESCAVAD. CASE 580 L -(0,77M3) 75HP (4X2)</t>
  </si>
  <si>
    <t>LOCAÇÃO DE CAMINHÃO PIPA</t>
  </si>
  <si>
    <t>LOCAÇÃO DE RETROESCAVADEIRA</t>
  </si>
  <si>
    <t xml:space="preserve">VALOR MENSAL </t>
  </si>
  <si>
    <t>Bota PVC Branca</t>
  </si>
  <si>
    <t>(31) 2536-2200</t>
  </si>
  <si>
    <t>contato@bhepi.com.br</t>
  </si>
  <si>
    <t>Rua Vila Rica, 1168, Loja 3, Monsenhor Messias</t>
  </si>
  <si>
    <t>Belo Horizonte, MG - 30720-482</t>
  </si>
  <si>
    <t>CONTAINER PEAD 3000 L</t>
  </si>
  <si>
    <t>CONTAINER PEAD 1000 L</t>
  </si>
  <si>
    <t>LOCAÇÃO DE CAMINHÃO HIDROJATEADOR</t>
  </si>
  <si>
    <t>50.40.06</t>
  </si>
  <si>
    <t>LOCAÇÃO VEÍCULO POPULAR MOTOR 1.0 C/ AR E SEGURO</t>
  </si>
  <si>
    <t>FL:01/01</t>
  </si>
  <si>
    <t xml:space="preserve">CRONOGRAMA FÍSICO FINANCEIRO </t>
  </si>
  <si>
    <t>MUNICIPIO</t>
  </si>
  <si>
    <t>OBJETO</t>
  </si>
  <si>
    <t>PRAZO</t>
  </si>
  <si>
    <t>DATA:</t>
  </si>
  <si>
    <t>SERVIÇO</t>
  </si>
  <si>
    <t>CUSTO</t>
  </si>
  <si>
    <t>INCID.</t>
  </si>
  <si>
    <t>1º MÊS</t>
  </si>
  <si>
    <t>2º MÊS</t>
  </si>
  <si>
    <t>3º MÊS</t>
  </si>
  <si>
    <t>4º MÊS</t>
  </si>
  <si>
    <t>5º MÊS</t>
  </si>
  <si>
    <t>6º MÊS</t>
  </si>
  <si>
    <t>7º MÊS</t>
  </si>
  <si>
    <t>8º MÊS</t>
  </si>
  <si>
    <t>9º MÊS</t>
  </si>
  <si>
    <t>10º MÊS</t>
  </si>
  <si>
    <t>11º MÊS</t>
  </si>
  <si>
    <t>12º MÊS</t>
  </si>
  <si>
    <t xml:space="preserve">TOTAL </t>
  </si>
  <si>
    <t>% MENSAL</t>
  </si>
  <si>
    <t>% ACUMULADO</t>
  </si>
  <si>
    <t xml:space="preserve"> CRONOGRAMA FÍSICO FINANCEIRO </t>
  </si>
  <si>
    <t>Caratinga /Minas Gerais</t>
  </si>
  <si>
    <t>XX/XX/2019</t>
  </si>
  <si>
    <t>MATERIAIS E FERRAMENTAS</t>
  </si>
  <si>
    <t>Varrição manual de vias e logradouros públicos incluindo o sacheamento e  esvaziamento de lixeiras públicas.</t>
  </si>
  <si>
    <t>Caminhão Compactador 15 m³</t>
  </si>
  <si>
    <t>Quantidade de veiculos</t>
  </si>
  <si>
    <t>Fiscal/ Encarregado</t>
  </si>
  <si>
    <t>Gari Varredor (Vespertino)</t>
  </si>
  <si>
    <t>Fiscal de Varrição (Vespertino)</t>
  </si>
  <si>
    <t>ESTIMATIVA COMBUSTÍVEL + manutenção</t>
  </si>
  <si>
    <t>Encarregado</t>
  </si>
  <si>
    <t>De acordo com Acordão TCU2622-2013</t>
  </si>
  <si>
    <t>4 Caminhões Compactadores em Operação</t>
  </si>
  <si>
    <t>O Número de garis, muda de acordo com a quantidade de km/sarjeta</t>
  </si>
  <si>
    <t xml:space="preserve">Coleta manual e conteinerizada de resíduos sólidos domiciliares da área RURAL; </t>
  </si>
  <si>
    <t xml:space="preserve">cone </t>
  </si>
  <si>
    <t>Custo com limpeza e higienização - verba mensal:</t>
  </si>
  <si>
    <t>Fornecimento, implantação e operação de conteineres com capc. Para 1000 litros</t>
  </si>
  <si>
    <t>cont.</t>
  </si>
  <si>
    <t>Administração Local</t>
  </si>
  <si>
    <t>verba</t>
  </si>
  <si>
    <t>Administração local</t>
  </si>
  <si>
    <t>Encarregado diurno</t>
  </si>
  <si>
    <t>Perneira de Raspa com Velcro - Curtluvas</t>
  </si>
  <si>
    <t>Protetor Auricular 14db Tipo Concha PPA06 - Proteplus</t>
  </si>
  <si>
    <t>Nível de atenuação de ruído: 14 DB</t>
  </si>
  <si>
    <t>Óculos Proteção Lateral Incolor Foxter</t>
  </si>
  <si>
    <t>Número do Certificado de Aprovação - CA: 15006</t>
  </si>
  <si>
    <t>Número do cerificado de aprovação - CA : 40.264</t>
  </si>
  <si>
    <t>Para dimensionamento da frota considera:</t>
  </si>
  <si>
    <t>A) Quantidade de resíduos no mês</t>
  </si>
  <si>
    <t>B) Dias úteis para coleta</t>
  </si>
  <si>
    <t>C) Quantidade de tonelada por dia = A/B</t>
  </si>
  <si>
    <t>D) Capacidade do Compactador</t>
  </si>
  <si>
    <t>Frota = C/D</t>
  </si>
  <si>
    <t>ton/mês</t>
  </si>
  <si>
    <t>dias</t>
  </si>
  <si>
    <t>ton/dia</t>
  </si>
  <si>
    <t>ton</t>
  </si>
  <si>
    <t>Gratificação Férias (1/12)</t>
  </si>
  <si>
    <t>Saveiro 2020</t>
  </si>
  <si>
    <t>Comercial de Petroleo Rafael &amp; Filhos Ltda
Avenida Av.joão Caetano do Nascimento, 1200 - Centro, Caratinga - MG</t>
  </si>
  <si>
    <t>Posto Maluquinho Avenida João Caetano do Nascimento, 5
Santa Zita, Caratinga, MG</t>
  </si>
  <si>
    <t>COLETOR DE LIXO DOMICILIAR E COMERCIAL</t>
  </si>
  <si>
    <t>GARI VARREDOR</t>
  </si>
  <si>
    <t>GARI COLETOR</t>
  </si>
  <si>
    <t>COLETOR DE LIXO DE VARRIÇÃO</t>
  </si>
  <si>
    <t>AGENTE DE FISCALIZAÇÃO URBANA</t>
  </si>
  <si>
    <t>Caminhão tipo CARGO 1723</t>
  </si>
  <si>
    <t>Compactador de lixo 15m3</t>
  </si>
  <si>
    <t>CUSTOS COM MÃO DE OBRA</t>
  </si>
  <si>
    <t>CUSTOS COM EQUIPAMENTOS</t>
  </si>
  <si>
    <t>AQUISIÇÃO DE EQUIPAMENTOS</t>
  </si>
  <si>
    <t>CUSTO DE MANUTENÇÃO</t>
  </si>
  <si>
    <t>ALUGUEL DE EQUIPAMENTOS</t>
  </si>
  <si>
    <t>CCT- Rodoviarios*</t>
  </si>
  <si>
    <t>* - CCT 2019, NÚMERO DE REGISTRO NO MTE: MG001370/2019  não foi publicado para 2020 até a data do edital.</t>
  </si>
  <si>
    <t xml:space="preserve">SALARIOS E BENEFÍCIOS CCT2020 - NÚMERO DE REGISTRO NO MTE: MG001180/2020  e NÚMERO DE REGISTRO NO MTE: 	MG001370/2019 </t>
  </si>
  <si>
    <t>Tabela fipe</t>
  </si>
  <si>
    <t>EPI's</t>
  </si>
  <si>
    <t>Ferramentas e Materiais usuais</t>
  </si>
  <si>
    <t>TABELA MENSAL DE PREÇO DE INSUMOS - MÊS DE REFERÊNCIA: 08/2020</t>
  </si>
  <si>
    <t>Vassoura de Piaçava Tipo Prefeitura com Cabo Plastificado 60cm</t>
  </si>
  <si>
    <t>Pa Quadrada Tramontina em Aco com Cabo de Madeira 71CM</t>
  </si>
  <si>
    <t>Cone de Sinalização 75cm Branco e Laranja Elastim</t>
  </si>
  <si>
    <t>Foice roçadeira com cabo de madeira 110 cm TRAMONTINA</t>
  </si>
  <si>
    <t>Carrinho Gari Reforçado 100 Litros - Lutocar</t>
  </si>
  <si>
    <t>Ancinho Cabo 16 Dentes FJ-1114 - Trapp</t>
  </si>
  <si>
    <t>Enxada Larga com Cabo</t>
  </si>
  <si>
    <t>LIMA ENXADA 8" C/ CABO 08992BC K&amp;F</t>
  </si>
  <si>
    <t>Carrinho de Mão com Caçamba Redonda Metálica Azul 50 Litros - 77704432 - TRAMONTINA</t>
  </si>
  <si>
    <t>Picareta Chibanca com Cabo - 17 - MINASUL</t>
  </si>
  <si>
    <t>Forcado Para Cascalho 10 Dentes Com Cabo 71cm Tramontina</t>
  </si>
  <si>
    <t>Roçadeira a gasolina 545FR 45,7 cc 2,8 hp - Husqvarna 967637901</t>
  </si>
  <si>
    <t>Valor DPVAT 2020</t>
  </si>
  <si>
    <t>Automóveis</t>
  </si>
  <si>
    <t>Ônibus com cobrança de frete</t>
  </si>
  <si>
    <t>Micro-ônibus com frete (até 10 passageiros)</t>
  </si>
  <si>
    <t>Ônibus, micro-ônibus e lotações sem cobrança de frete</t>
  </si>
  <si>
    <t>Ciclomotores​​</t>
  </si>
  <si>
    <t>Motocicletas, motonetas e similares</t>
  </si>
  <si>
    <t>DPVAT 2020</t>
  </si>
  <si>
    <t>Caminhões, caminhonetas tipo "pick-up" de até 1.500 Kg de
carga, máquinas de terraplanagem e equipamentos móveis
em geral (quando licenciados) e outros veículos</t>
  </si>
  <si>
    <t>Total de Funcionarios Coleta Manual</t>
  </si>
  <si>
    <t>Total de Funcionarios Varrição</t>
  </si>
  <si>
    <t>Total de Funcionarios Coleta nos distritos</t>
  </si>
  <si>
    <t>QUANTITATIVO DE MÃO DE OBRA</t>
  </si>
  <si>
    <t>Orçamento Sintético</t>
  </si>
  <si>
    <t>%</t>
  </si>
  <si>
    <t>Custo (R$/mês</t>
  </si>
  <si>
    <t>Descrição do item</t>
  </si>
  <si>
    <t>Item</t>
  </si>
  <si>
    <t>1.</t>
  </si>
  <si>
    <t>Mão de obra</t>
  </si>
  <si>
    <t>1.1</t>
  </si>
  <si>
    <t>1.2</t>
  </si>
  <si>
    <t>1.3</t>
  </si>
  <si>
    <t>1.4</t>
  </si>
  <si>
    <t>2.</t>
  </si>
  <si>
    <t>3.</t>
  </si>
  <si>
    <t>Veículos e Equipamentos (Coleta e Transporte)</t>
  </si>
  <si>
    <t>3.1</t>
  </si>
  <si>
    <t>Quantitativos</t>
  </si>
  <si>
    <t>1.5</t>
  </si>
  <si>
    <t>Total de mão de obra (postos de trabalho)</t>
  </si>
  <si>
    <t>Coletor noturno</t>
  </si>
  <si>
    <t>Motorista noturno</t>
  </si>
  <si>
    <t>Coletor diurno (inclusive reserva)</t>
  </si>
  <si>
    <t>Motorista diurno (inclusive reserva)</t>
  </si>
  <si>
    <t>1.6</t>
  </si>
  <si>
    <t>Veículos e equipamentos</t>
  </si>
  <si>
    <t>3.3</t>
  </si>
  <si>
    <t>Veículo de apoio</t>
  </si>
  <si>
    <t>Total de veículos e equipamentos</t>
  </si>
  <si>
    <t>Piso da categoria</t>
  </si>
  <si>
    <t>Discriminação</t>
  </si>
  <si>
    <t>Custo Unitário</t>
  </si>
  <si>
    <t>Subtotal</t>
  </si>
  <si>
    <t>Total (R$)</t>
  </si>
  <si>
    <t>mês</t>
  </si>
  <si>
    <t>Horas extras 100%</t>
  </si>
  <si>
    <t>Horas extras 50%</t>
  </si>
  <si>
    <t>hora</t>
  </si>
  <si>
    <t xml:space="preserve">un </t>
  </si>
  <si>
    <t>dia</t>
  </si>
  <si>
    <t>Cesta de Natal e Gratificação de férias</t>
  </si>
  <si>
    <t>Assistência médica</t>
  </si>
  <si>
    <t>Exames médicos</t>
  </si>
  <si>
    <t>Uniformes e EPI's</t>
  </si>
  <si>
    <t>Total por coletor</t>
  </si>
  <si>
    <t>Total do efetivo</t>
  </si>
  <si>
    <t>homem</t>
  </si>
  <si>
    <t>Vale transporte (valor do desembolso menos 6% do salário)</t>
  </si>
  <si>
    <t>Fator de utilização</t>
  </si>
  <si>
    <t>Vale Alimentação (10% descontado do funcionário)</t>
  </si>
  <si>
    <t>Levantamento de Custos</t>
  </si>
  <si>
    <t>Adicional noturno (20%)</t>
  </si>
  <si>
    <t>Fiscal noturno</t>
  </si>
  <si>
    <t>Total por motorista</t>
  </si>
  <si>
    <t>Total por fiscal</t>
  </si>
  <si>
    <t>Dados para cálculos</t>
  </si>
  <si>
    <t>Consumo Diesel e lubrificante (R$)</t>
  </si>
  <si>
    <t>Custo do Jogo de Pneus</t>
  </si>
  <si>
    <t>Custo unitário</t>
  </si>
  <si>
    <t>Custo de recapagem</t>
  </si>
  <si>
    <t>Número de recapagem por pneu</t>
  </si>
  <si>
    <t>km/jogo</t>
  </si>
  <si>
    <t>km</t>
  </si>
  <si>
    <t>Custo mensal de pneus</t>
  </si>
  <si>
    <t>Custo total por mês com jogo de pneus</t>
  </si>
  <si>
    <t>Custo jogo completo mais recapagem (km rodado=20000+16000)</t>
  </si>
  <si>
    <t>Custo de Manutenção por Rota</t>
  </si>
  <si>
    <t>Custo Total</t>
  </si>
  <si>
    <t>Valor Total no ano para total de veículos</t>
  </si>
  <si>
    <t>Valor Mensal para total de veículos</t>
  </si>
  <si>
    <t>Custo Mensal com Depreciação</t>
  </si>
  <si>
    <t>Total Mensal de Custo de Capital</t>
  </si>
  <si>
    <t>Fórmula de Cálculo --&gt;</t>
  </si>
  <si>
    <t>Valor mensal de Monitoramento</t>
  </si>
  <si>
    <t>Total do custo de materiais</t>
  </si>
  <si>
    <t>Custo com Matériais e acessórios</t>
  </si>
  <si>
    <t>Valor Unitário</t>
  </si>
  <si>
    <t>2.1</t>
  </si>
  <si>
    <t>2.1.1</t>
  </si>
  <si>
    <t>2.1.2</t>
  </si>
  <si>
    <t>2.1.3</t>
  </si>
  <si>
    <t>2.1.4</t>
  </si>
  <si>
    <t>2.1.5</t>
  </si>
  <si>
    <t>2.1.6</t>
  </si>
  <si>
    <t xml:space="preserve">CUSTO DIRETO REMUNERAÇÃO DE CAPITAL </t>
  </si>
  <si>
    <t>2.2</t>
  </si>
  <si>
    <t>Veículo de Apoio - Pickup</t>
  </si>
  <si>
    <t>CUSTO OPERACIONAL TOTAL POR MÊS</t>
  </si>
  <si>
    <t xml:space="preserve"> Coleta manual e conteinerizada de resíduos sólidos domiciliares da área urbana da cidade, incluindo as áreas de difícil acesso; </t>
  </si>
  <si>
    <t>Dados para Cálculo de Custo de Mão de Obra</t>
  </si>
  <si>
    <t>Equipamentos</t>
  </si>
  <si>
    <t>Descriçáo</t>
  </si>
  <si>
    <t>Unitário</t>
  </si>
  <si>
    <t>Cons./mês</t>
  </si>
  <si>
    <t>Veículos e Equipamentos</t>
  </si>
  <si>
    <t>Vassoura (2 vassoura em operação e 1 para reserva)</t>
  </si>
  <si>
    <t>Pá (1 unidade para cada varredor)</t>
  </si>
  <si>
    <t>Enxadinha (1 unidade para cada varredor)</t>
  </si>
  <si>
    <t>CUSTO MENSAL DE CONTAINERES</t>
  </si>
  <si>
    <t>CUSTO CONTAINERES DE PEAD CAPACIDADE DE 1000 LITROS</t>
  </si>
  <si>
    <t>5.</t>
  </si>
  <si>
    <t>Quantidade de Resíduos</t>
  </si>
  <si>
    <t>Coleta somente Diurna</t>
  </si>
  <si>
    <t>Caminhão com caçamba Compactador 15 m³
Carga compactada 8,0 ton</t>
  </si>
  <si>
    <t>Caminhão Compactador Reserva</t>
  </si>
  <si>
    <t>4.</t>
  </si>
  <si>
    <t>1.7</t>
  </si>
  <si>
    <t>1.8</t>
  </si>
  <si>
    <t>1.9</t>
  </si>
  <si>
    <t>Mecânico / Ajudante de Mecânico</t>
  </si>
  <si>
    <t>Administrativo</t>
  </si>
  <si>
    <t>Camisa Social</t>
  </si>
  <si>
    <t>Avental de Raspa</t>
  </si>
  <si>
    <t>Custo de Veículo de Fiscalização</t>
  </si>
  <si>
    <t>Custo com Instalações e Materiais diversos</t>
  </si>
  <si>
    <t>QTD/ ANO</t>
  </si>
  <si>
    <t>VERBA</t>
  </si>
  <si>
    <t>Aluguel da Area e IPTU</t>
  </si>
  <si>
    <t>Água</t>
  </si>
  <si>
    <t>Luz</t>
  </si>
  <si>
    <t>Telefone Fixo e Movel</t>
  </si>
  <si>
    <t>Manutenção Da Área</t>
  </si>
  <si>
    <t>Internet</t>
  </si>
  <si>
    <t>Papelaria</t>
  </si>
  <si>
    <t>Materiais escritório</t>
  </si>
  <si>
    <t>Materiais de limpeza</t>
  </si>
  <si>
    <t>Garantia De Execução</t>
  </si>
  <si>
    <t>Crea</t>
  </si>
  <si>
    <t>Computador de mesa</t>
  </si>
  <si>
    <t>Cadeira Fixa</t>
  </si>
  <si>
    <t>Mesa reta 18mm 6 gavetas</t>
  </si>
  <si>
    <t>Armario</t>
  </si>
  <si>
    <t>Arquivo de aço</t>
  </si>
  <si>
    <t xml:space="preserve">Ferramentas p/ oficiana Mecanica </t>
  </si>
  <si>
    <t>Custo mês</t>
  </si>
  <si>
    <t>CUSTO COM CAFÉ DA MANHÃ DOS FUNCIONARIOS</t>
  </si>
  <si>
    <t>TOTAL FUNCIONÁRIOS</t>
  </si>
  <si>
    <t>CUSTO UNTÁRIO</t>
  </si>
  <si>
    <t>QTD DIAS</t>
  </si>
  <si>
    <t>Café da Manhã (pão c/ mateinga e café)</t>
  </si>
  <si>
    <t>Custo Total  Com  Café da Manhã</t>
  </si>
  <si>
    <t>12 meses</t>
  </si>
  <si>
    <t xml:space="preserve">Contratação de empresa especializada para prestação dos serviços de:
1) Coleta manual e conteinerizada de resíduos sólidos domiciliares, comerciais e Distritos pertencentes ao município de localizados em longas distâncias da cidade;
2) Varrição manual de vias e logradouros Públicos incluindo o esvaziamento  de lixeiras públicas,
3) Limpeza, lavagem e desinfecção de áreas pós feiras livres,
4) Capina e roçada manual de vias e logradouros,
5) Capina e roçada mecanizada de vias e logradouros públicos com uso de equipamento auto propelido,
6) Capina química de vias e logradouros públicos,
7) Equipe para coleta em locais de difícil acesso;
8) Fornecimento, limpeza, higienização e manutenção de containers de PEAD com capacidade de 1.000 litros, e containers semienterrados com capacidade de 3.000 litros,
9) Limpeza manual e mecanizada de bocas de lobo (bueiros) com equipamento hidrojateador,
10) Fornecimento de equipe para campanha permanente de educação ambiental
11) Administração Local, de acordo com as especificações técnicas constantes do Termo e Referência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</si>
</sst>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7" formatCode="&quot;R$&quot;\ #,##0.00;\-&quot;R$&quot;\ #,##0.00"/>
    <numFmt numFmtId="8" formatCode="&quot;R$&quot;\ #,##0.00;[Red]\-&quot;R$&quot;\ #,##0.00"/>
    <numFmt numFmtId="44" formatCode="_-&quot;R$&quot;\ * #,##0.00_-;\-&quot;R$&quot;\ * #,##0.00_-;_-&quot;R$&quot;\ * &quot;-&quot;??_-;_-@_-"/>
    <numFmt numFmtId="43" formatCode="_-* #,##0.00_-;\-* #,##0.00_-;_-* &quot;-&quot;??_-;_-@_-"/>
    <numFmt numFmtId="164" formatCode="_(* #,##0.00_);_(* \(#,##0.00\);_(* &quot;-&quot;??_);_(@_)"/>
    <numFmt numFmtId="165" formatCode="_(&quot;R$ &quot;* #,##0.00_);_(&quot;R$ &quot;* \(#,##0.00\);_(&quot;R$ &quot;* &quot;-&quot;??_);_(@_)"/>
    <numFmt numFmtId="166" formatCode="_(&quot;R$&quot;* #,##0.00_);_(&quot;R$&quot;* \(#,##0.00\);_(&quot;R$&quot;* &quot;-&quot;??_);_(@_)"/>
    <numFmt numFmtId="167" formatCode="_(&quot;R$ &quot;* #,##0.00_);_(&quot;R$ &quot;* \(#,##0.00\);_(&quot;R$ &quot;* \-??_);_(@_)"/>
    <numFmt numFmtId="168" formatCode="0\)"/>
    <numFmt numFmtId="169" formatCode="0.0000"/>
    <numFmt numFmtId="170" formatCode="0.000%"/>
    <numFmt numFmtId="171" formatCode="#,##0\ &quot;ton/mês&quot;"/>
    <numFmt numFmtId="172" formatCode="#,##0\ &quot;km/dia&quot;"/>
    <numFmt numFmtId="173" formatCode="#,##0.00\ &quot;R$/L&quot;"/>
    <numFmt numFmtId="174" formatCode="&quot;R$&quot;\ #,##0.00"/>
    <numFmt numFmtId="175" formatCode="#,##0\ &quot;Dias/mês&quot;"/>
    <numFmt numFmtId="176" formatCode="#,##0\ &quot;veículos&quot;"/>
    <numFmt numFmtId="177" formatCode="#,##0\ &quot;km/mês&quot;"/>
    <numFmt numFmtId="178" formatCode="#,##0.000000"/>
    <numFmt numFmtId="179" formatCode="#,##0\ &quot;km/sarjeta/mês&quot;"/>
    <numFmt numFmtId="180" formatCode="\ #,##0.00\ &quot;h/dia&quot;"/>
    <numFmt numFmtId="181" formatCode="\ #,##0\ &quot;varredores&quot;"/>
    <numFmt numFmtId="182" formatCode="_-&quot;R$&quot;\ * #,##0.000_-;\-&quot;R$&quot;\ * #,##0.000_-;_-&quot;R$&quot;\ * &quot;-&quot;???_-;_-@_-"/>
    <numFmt numFmtId="183" formatCode="0.00000%"/>
    <numFmt numFmtId="184" formatCode="#,##0.00\ &quot;L/km&quot;"/>
    <numFmt numFmtId="185" formatCode="#,##0\ &quot;Lutocar&quot;"/>
    <numFmt numFmtId="186" formatCode="#,##0\ &quot;Gari varredor Diurno&quot;"/>
    <numFmt numFmtId="187" formatCode="#,##0\ &quot;Gari varredor Vespertino&quot;"/>
    <numFmt numFmtId="188" formatCode="#,##0.00_ ;\-#,##0.00\ "/>
    <numFmt numFmtId="189" formatCode="#,##0_ ;\-#,##0\ "/>
    <numFmt numFmtId="190" formatCode="#&quot; Motorista&quot;"/>
    <numFmt numFmtId="191" formatCode="#&quot; Coletores&quot;"/>
    <numFmt numFmtId="192" formatCode="#&quot; Caminhões Compactadores em Operação&quot;"/>
    <numFmt numFmtId="193" formatCode="#&quot; Caminhão Compactador Reserva&quot;"/>
    <numFmt numFmtId="194" formatCode="#&quot; Equipe por mês&quot;"/>
  </numFmts>
  <fonts count="98">
    <font>
      <sz val="11"/>
      <color theme="1"/>
      <name val="Calibri"/>
      <family val="2"/>
      <scheme val="minor"/>
    </font>
    <font>
      <sz val="11"/>
      <color indexed="8"/>
      <name val="Calibri"/>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8"/>
      <name val="Calibri"/>
      <family val="2"/>
    </font>
    <font>
      <sz val="10"/>
      <name val="Arial"/>
      <family val="2"/>
    </font>
    <font>
      <sz val="10"/>
      <name val="Courier New"/>
      <family val="3"/>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9"/>
      <color indexed="8"/>
      <name val="Times New Roman"/>
      <family val="1"/>
    </font>
    <font>
      <sz val="12"/>
      <name val="Arial Narrow"/>
      <family val="2"/>
    </font>
    <font>
      <sz val="10"/>
      <name val="Arial Narrow"/>
      <family val="2"/>
    </font>
    <font>
      <sz val="9"/>
      <color indexed="8"/>
      <name val="Arial Narrow"/>
      <family val="2"/>
    </font>
    <font>
      <b/>
      <sz val="8"/>
      <color indexed="8"/>
      <name val="Arial Narrow"/>
      <family val="2"/>
    </font>
    <font>
      <sz val="8"/>
      <color indexed="8"/>
      <name val="Arial Narrow"/>
      <family val="2"/>
    </font>
    <font>
      <b/>
      <sz val="11"/>
      <color indexed="8"/>
      <name val="Arial Narrow"/>
      <family val="2"/>
    </font>
    <font>
      <sz val="9"/>
      <name val="Arial Narrow"/>
      <family val="2"/>
    </font>
    <font>
      <sz val="11"/>
      <color indexed="8"/>
      <name val="Arial Narrow"/>
      <family val="2"/>
    </font>
    <font>
      <b/>
      <sz val="12"/>
      <name val="Arial Narrow"/>
      <family val="2"/>
    </font>
    <font>
      <b/>
      <sz val="16"/>
      <name val="Arial Narrow"/>
      <family val="2"/>
    </font>
    <font>
      <b/>
      <sz val="10"/>
      <name val="Arial"/>
      <family val="2"/>
    </font>
    <font>
      <b/>
      <i/>
      <sz val="9"/>
      <name val="Arial Narrow"/>
      <family val="2"/>
    </font>
    <font>
      <b/>
      <sz val="14"/>
      <color indexed="8"/>
      <name val="Arial Narrow"/>
      <family val="2"/>
    </font>
    <font>
      <b/>
      <sz val="12"/>
      <color indexed="8"/>
      <name val="Arial Narrow"/>
      <family val="2"/>
    </font>
    <font>
      <sz val="11"/>
      <name val="Arial Narrow"/>
      <family val="2"/>
    </font>
    <font>
      <b/>
      <sz val="10"/>
      <name val="Arial Narrow"/>
      <family val="2"/>
    </font>
    <font>
      <b/>
      <sz val="11"/>
      <name val="Arial Narrow"/>
      <family val="2"/>
    </font>
    <font>
      <b/>
      <sz val="14"/>
      <name val="Arial Narrow"/>
      <family val="2"/>
    </font>
    <font>
      <sz val="8"/>
      <name val="Arial Narrow"/>
      <family val="2"/>
    </font>
    <font>
      <sz val="10"/>
      <color indexed="8"/>
      <name val="Arial Narrow"/>
      <family val="2"/>
    </font>
    <font>
      <sz val="12"/>
      <color indexed="8"/>
      <name val="Arial Narrow"/>
      <family val="2"/>
    </font>
    <font>
      <b/>
      <sz val="10"/>
      <color indexed="8"/>
      <name val="Arial Narrow"/>
      <family val="2"/>
    </font>
    <font>
      <b/>
      <sz val="9"/>
      <color indexed="8"/>
      <name val="Arial Narrow"/>
      <family val="2"/>
    </font>
    <font>
      <i/>
      <sz val="11"/>
      <name val="Arial Narrow"/>
      <family val="2"/>
    </font>
    <font>
      <b/>
      <u/>
      <sz val="10"/>
      <name val="Arial Narrow"/>
      <family val="2"/>
    </font>
    <font>
      <b/>
      <u/>
      <sz val="11"/>
      <name val="Arial Narrow"/>
      <family val="2"/>
    </font>
    <font>
      <sz val="11"/>
      <color indexed="63"/>
      <name val="Inherit"/>
    </font>
    <font>
      <sz val="10"/>
      <color indexed="8"/>
      <name val="Arial"/>
      <family val="2"/>
    </font>
    <font>
      <b/>
      <sz val="10"/>
      <color indexed="8"/>
      <name val="Arial"/>
      <family val="2"/>
    </font>
    <font>
      <sz val="8"/>
      <name val="Calibri"/>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sz val="9"/>
      <color rgb="FFFF0000"/>
      <name val="Times New Roman"/>
      <family val="1"/>
    </font>
    <font>
      <sz val="9"/>
      <color rgb="FFFF0000"/>
      <name val="Arial Narrow"/>
      <family val="2"/>
    </font>
    <font>
      <b/>
      <sz val="12"/>
      <color theme="0"/>
      <name val="Arial Narrow"/>
      <family val="2"/>
    </font>
    <font>
      <b/>
      <sz val="12"/>
      <color rgb="FFC00000"/>
      <name val="Arial Narrow"/>
      <family val="2"/>
    </font>
    <font>
      <sz val="11"/>
      <color rgb="FFFF0000"/>
      <name val="Arial Narrow"/>
      <family val="2"/>
    </font>
    <font>
      <b/>
      <sz val="14"/>
      <color theme="0"/>
      <name val="Arial Narrow"/>
      <family val="2"/>
    </font>
    <font>
      <sz val="14"/>
      <color theme="0"/>
      <name val="Arial Narrow"/>
      <family val="2"/>
    </font>
    <font>
      <sz val="11"/>
      <color theme="1"/>
      <name val="Arial Narrow"/>
      <family val="2"/>
    </font>
    <font>
      <b/>
      <sz val="9"/>
      <color rgb="FF60686D"/>
      <name val="Arial"/>
      <family val="2"/>
    </font>
    <font>
      <b/>
      <sz val="16"/>
      <color theme="0"/>
      <name val="Arial Narrow"/>
      <family val="2"/>
    </font>
    <font>
      <sz val="12"/>
      <color rgb="FFFF0000"/>
      <name val="Arial Narrow"/>
      <family val="2"/>
    </font>
    <font>
      <b/>
      <u/>
      <sz val="11"/>
      <color theme="1"/>
      <name val="Calibri"/>
      <family val="2"/>
      <scheme val="minor"/>
    </font>
    <font>
      <sz val="11"/>
      <color rgb="FF000000"/>
      <name val="Arial Narrow"/>
      <family val="2"/>
    </font>
    <font>
      <b/>
      <sz val="11"/>
      <color theme="1"/>
      <name val="Arial Narrow"/>
      <family val="2"/>
    </font>
    <font>
      <sz val="10"/>
      <color theme="1"/>
      <name val="Calibri"/>
      <family val="2"/>
      <scheme val="minor"/>
    </font>
    <font>
      <sz val="6"/>
      <color theme="1"/>
      <name val="Calibri"/>
      <family val="2"/>
      <scheme val="minor"/>
    </font>
    <font>
      <b/>
      <sz val="7"/>
      <color theme="1"/>
      <name val="Calibri"/>
      <family val="2"/>
      <scheme val="minor"/>
    </font>
    <font>
      <sz val="7"/>
      <color theme="1"/>
      <name val="Calibri"/>
      <family val="2"/>
      <scheme val="minor"/>
    </font>
    <font>
      <sz val="12"/>
      <color theme="5"/>
      <name val="Arial Narrow"/>
      <family val="2"/>
    </font>
    <font>
      <b/>
      <sz val="12"/>
      <color theme="1"/>
      <name val="Calibri"/>
      <family val="2"/>
      <scheme val="minor"/>
    </font>
    <font>
      <b/>
      <sz val="8"/>
      <color theme="1"/>
      <name val="Calibri"/>
      <family val="2"/>
      <scheme val="minor"/>
    </font>
    <font>
      <sz val="14"/>
      <name val="Calibri"/>
      <family val="2"/>
      <scheme val="minor"/>
    </font>
    <font>
      <sz val="14"/>
      <color theme="1"/>
      <name val="Calibri"/>
      <family val="2"/>
      <scheme val="minor"/>
    </font>
    <font>
      <sz val="14"/>
      <color theme="5"/>
      <name val="Arial Narrow"/>
      <family val="2"/>
    </font>
    <font>
      <b/>
      <sz val="10"/>
      <color rgb="FFFF0000"/>
      <name val="Arial Narrow"/>
      <family val="2"/>
    </font>
    <font>
      <b/>
      <u/>
      <sz val="14"/>
      <color theme="0"/>
      <name val="Arial Narrow"/>
      <family val="2"/>
    </font>
    <font>
      <sz val="11"/>
      <color theme="0"/>
      <name val="Arial Narrow"/>
      <family val="2"/>
    </font>
    <font>
      <b/>
      <sz val="11"/>
      <color rgb="FF000000"/>
      <name val="Arial Narrow"/>
      <family val="2"/>
    </font>
    <font>
      <u/>
      <sz val="8"/>
      <color theme="10"/>
      <name val="Arial Narrow"/>
      <family val="2"/>
    </font>
    <font>
      <sz val="10"/>
      <color theme="1"/>
      <name val="Arial Narrow"/>
      <family val="2"/>
    </font>
    <font>
      <b/>
      <sz val="11"/>
      <color rgb="FFC00000"/>
      <name val="Arial Narrow"/>
      <family val="2"/>
    </font>
    <font>
      <b/>
      <u/>
      <sz val="14"/>
      <color theme="1"/>
      <name val="Arial Narrow"/>
      <family val="2"/>
    </font>
    <font>
      <sz val="10"/>
      <color rgb="FF1D2228"/>
      <name val="Arial"/>
      <family val="2"/>
    </font>
    <font>
      <sz val="11"/>
      <color theme="1"/>
      <name val="Georgia"/>
      <family val="1"/>
    </font>
    <font>
      <sz val="8"/>
      <color rgb="FF444444"/>
      <name val="Inherit"/>
    </font>
  </fonts>
  <fills count="42">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3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bgColor indexed="64"/>
      </patternFill>
    </fill>
    <fill>
      <patternFill patternType="gray0625">
        <bgColor theme="0"/>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rgb="FF00B0F0"/>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rgb="FFFFFF00"/>
        <bgColor indexed="64"/>
      </patternFill>
    </fill>
    <fill>
      <patternFill patternType="solid">
        <fgColor theme="4" tint="0.59999389629810485"/>
        <bgColor indexed="64"/>
      </patternFill>
    </fill>
    <fill>
      <patternFill patternType="solid">
        <fgColor rgb="FF0070C0"/>
        <bgColor indexed="64"/>
      </patternFill>
    </fill>
    <fill>
      <patternFill patternType="solid">
        <fgColor theme="5" tint="0.59999389629810485"/>
        <bgColor indexed="64"/>
      </patternFill>
    </fill>
    <fill>
      <patternFill patternType="solid">
        <fgColor rgb="FFFFFFFF"/>
        <bgColor indexed="64"/>
      </patternFill>
    </fill>
  </fills>
  <borders count="7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right/>
      <top style="mediumDashed">
        <color indexed="64"/>
      </top>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s>
  <cellStyleXfs count="75">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4" borderId="0" applyNumberFormat="0" applyBorder="0" applyAlignment="0" applyProtection="0"/>
    <xf numFmtId="0" fontId="7" fillId="16" borderId="1" applyNumberFormat="0" applyAlignment="0" applyProtection="0"/>
    <xf numFmtId="0" fontId="8" fillId="17" borderId="2" applyNumberFormat="0" applyAlignment="0" applyProtection="0"/>
    <xf numFmtId="0" fontId="9" fillId="0" borderId="3" applyNumberFormat="0" applyFill="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1" borderId="0" applyNumberFormat="0" applyBorder="0" applyAlignment="0" applyProtection="0"/>
    <xf numFmtId="0" fontId="10" fillId="7" borderId="1" applyNumberFormat="0" applyAlignment="0" applyProtection="0"/>
    <xf numFmtId="0" fontId="61" fillId="0" borderId="0" applyNumberFormat="0" applyFill="0" applyBorder="0" applyAlignment="0" applyProtection="0"/>
    <xf numFmtId="0" fontId="11" fillId="3" borderId="0" applyNumberFormat="0" applyBorder="0" applyAlignment="0" applyProtection="0"/>
    <xf numFmtId="0" fontId="23" fillId="0" borderId="0"/>
    <xf numFmtId="44" fontId="59"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7" fontId="4" fillId="0" borderId="0" applyFill="0" applyBorder="0" applyAlignment="0" applyProtection="0"/>
    <xf numFmtId="167" fontId="1" fillId="0" borderId="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0" fontId="12" fillId="22" borderId="0" applyNumberFormat="0" applyBorder="0" applyAlignment="0" applyProtection="0"/>
    <xf numFmtId="0" fontId="2" fillId="0" borderId="0"/>
    <xf numFmtId="0" fontId="3" fillId="0" borderId="0"/>
    <xf numFmtId="0" fontId="2" fillId="0" borderId="0"/>
    <xf numFmtId="0" fontId="3" fillId="0" borderId="0"/>
    <xf numFmtId="0" fontId="4" fillId="0" borderId="0"/>
    <xf numFmtId="0" fontId="22" fillId="0" borderId="0"/>
    <xf numFmtId="0" fontId="2" fillId="0" borderId="0"/>
    <xf numFmtId="0" fontId="4" fillId="23" borderId="4" applyNumberFormat="0" applyAlignment="0" applyProtection="0"/>
    <xf numFmtId="40" fontId="24" fillId="24" borderId="0">
      <alignment horizontal="right"/>
    </xf>
    <xf numFmtId="0" fontId="25" fillId="24" borderId="0">
      <alignment horizontal="right"/>
    </xf>
    <xf numFmtId="0" fontId="26" fillId="24" borderId="5"/>
    <xf numFmtId="0" fontId="26" fillId="0" borderId="0" applyBorder="0">
      <alignment horizontal="centerContinuous"/>
    </xf>
    <xf numFmtId="0" fontId="27" fillId="0" borderId="0" applyBorder="0">
      <alignment horizontal="centerContinuous"/>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ill="0" applyBorder="0" applyAlignment="0" applyProtection="0"/>
    <xf numFmtId="0" fontId="13" fillId="16" borderId="6" applyNumberFormat="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7" fillId="0" borderId="7" applyNumberFormat="0" applyFill="0" applyAlignment="0" applyProtection="0"/>
    <xf numFmtId="0" fontId="16" fillId="0" borderId="0" applyNumberFormat="0" applyFill="0" applyBorder="0" applyAlignment="0" applyProtection="0"/>
    <xf numFmtId="0" fontId="18" fillId="0" borderId="8" applyNumberFormat="0" applyFill="0" applyAlignment="0" applyProtection="0"/>
    <xf numFmtId="0" fontId="19" fillId="0" borderId="9" applyNumberFormat="0" applyFill="0" applyAlignment="0" applyProtection="0"/>
    <xf numFmtId="0" fontId="19" fillId="0" borderId="0" applyNumberFormat="0" applyFill="0" applyBorder="0" applyAlignment="0" applyProtection="0"/>
    <xf numFmtId="0" fontId="20" fillId="0" borderId="10" applyNumberFormat="0" applyFill="0" applyAlignment="0" applyProtection="0"/>
    <xf numFmtId="43" fontId="59" fillId="0" borderId="0" applyFont="0" applyFill="0" applyBorder="0" applyAlignment="0" applyProtection="0"/>
  </cellStyleXfs>
  <cellXfs count="1099">
    <xf numFmtId="0" fontId="0" fillId="0" borderId="0" xfId="0"/>
    <xf numFmtId="43" fontId="63" fillId="0" borderId="0" xfId="74" applyFont="1" applyAlignment="1">
      <alignment vertical="center"/>
    </xf>
    <xf numFmtId="0" fontId="28" fillId="0" borderId="0" xfId="0" applyFont="1"/>
    <xf numFmtId="0" fontId="28" fillId="0" borderId="0" xfId="0" applyFont="1" applyAlignment="1">
      <alignment horizontal="center"/>
    </xf>
    <xf numFmtId="0" fontId="63" fillId="0" borderId="0" xfId="0" applyFont="1"/>
    <xf numFmtId="0" fontId="28" fillId="0" borderId="0" xfId="0" applyFont="1" applyAlignment="1"/>
    <xf numFmtId="0" fontId="28" fillId="25" borderId="0" xfId="0" applyFont="1" applyFill="1"/>
    <xf numFmtId="0" fontId="28" fillId="25" borderId="0" xfId="0" applyFont="1" applyFill="1" applyAlignment="1"/>
    <xf numFmtId="0" fontId="28" fillId="25" borderId="0" xfId="0" applyFont="1" applyFill="1" applyAlignment="1">
      <alignment horizontal="center"/>
    </xf>
    <xf numFmtId="0" fontId="29" fillId="24" borderId="0" xfId="42" applyFont="1" applyFill="1" applyBorder="1"/>
    <xf numFmtId="0" fontId="29" fillId="24" borderId="0" xfId="42" applyFont="1" applyFill="1" applyBorder="1" applyAlignment="1">
      <alignment wrapText="1"/>
    </xf>
    <xf numFmtId="0" fontId="29" fillId="24" borderId="0" xfId="42" applyFont="1" applyFill="1" applyBorder="1" applyAlignment="1"/>
    <xf numFmtId="0" fontId="29" fillId="25" borderId="0" xfId="42" applyFont="1" applyFill="1" applyBorder="1"/>
    <xf numFmtId="0" fontId="29" fillId="25" borderId="0" xfId="0" applyFont="1" applyFill="1" applyBorder="1" applyAlignment="1"/>
    <xf numFmtId="0" fontId="31" fillId="25" borderId="0" xfId="0" applyFont="1" applyFill="1"/>
    <xf numFmtId="0" fontId="64" fillId="0" borderId="0" xfId="0" applyFont="1"/>
    <xf numFmtId="0" fontId="31" fillId="0" borderId="0" xfId="0" applyFont="1"/>
    <xf numFmtId="0" fontId="31" fillId="0" borderId="0" xfId="0" applyFont="1" applyAlignment="1">
      <alignment horizontal="center"/>
    </xf>
    <xf numFmtId="43" fontId="64" fillId="0" borderId="0" xfId="74" applyFont="1" applyAlignment="1">
      <alignment vertical="center"/>
    </xf>
    <xf numFmtId="43" fontId="31" fillId="25" borderId="0" xfId="74" applyFont="1" applyFill="1" applyAlignment="1">
      <alignment vertical="center"/>
    </xf>
    <xf numFmtId="43" fontId="31" fillId="25" borderId="0" xfId="74" applyFont="1" applyFill="1" applyAlignment="1">
      <alignment vertical="center" wrapText="1"/>
    </xf>
    <xf numFmtId="0" fontId="31" fillId="0" borderId="0" xfId="0" applyFont="1" applyAlignment="1"/>
    <xf numFmtId="0" fontId="31" fillId="0" borderId="0" xfId="0" applyFont="1" applyAlignment="1">
      <alignment wrapText="1"/>
    </xf>
    <xf numFmtId="43" fontId="65" fillId="25" borderId="0" xfId="74" applyFont="1" applyFill="1" applyAlignment="1">
      <alignment horizontal="left" vertical="center"/>
    </xf>
    <xf numFmtId="0" fontId="35" fillId="25" borderId="0" xfId="0" applyFont="1" applyFill="1"/>
    <xf numFmtId="0" fontId="35" fillId="25" borderId="0" xfId="0" applyFont="1" applyFill="1" applyAlignment="1"/>
    <xf numFmtId="0" fontId="35" fillId="25" borderId="0" xfId="0" applyFont="1" applyFill="1" applyAlignment="1">
      <alignment horizontal="center"/>
    </xf>
    <xf numFmtId="0" fontId="35" fillId="25" borderId="0" xfId="0" applyFont="1" applyFill="1" applyAlignment="1">
      <alignment wrapText="1"/>
    </xf>
    <xf numFmtId="43" fontId="37" fillId="25" borderId="0" xfId="74" applyFont="1" applyFill="1" applyAlignment="1">
      <alignment horizontal="left" vertical="center"/>
    </xf>
    <xf numFmtId="43" fontId="37" fillId="25" borderId="0" xfId="74" applyFont="1" applyFill="1" applyAlignment="1">
      <alignment horizontal="center" vertical="center"/>
    </xf>
    <xf numFmtId="43" fontId="65" fillId="25" borderId="0" xfId="74" applyFont="1" applyFill="1" applyAlignment="1">
      <alignment horizontal="left" vertical="center" wrapText="1"/>
    </xf>
    <xf numFmtId="43" fontId="29" fillId="25" borderId="0" xfId="74" applyFont="1" applyFill="1" applyBorder="1" applyAlignment="1">
      <alignment vertical="center" wrapText="1"/>
    </xf>
    <xf numFmtId="43" fontId="37" fillId="26" borderId="0" xfId="74" applyFont="1" applyFill="1" applyAlignment="1">
      <alignment horizontal="left" vertical="center"/>
    </xf>
    <xf numFmtId="43" fontId="65" fillId="26" borderId="0" xfId="74" applyFont="1" applyFill="1" applyAlignment="1">
      <alignment horizontal="left" vertical="center" wrapText="1"/>
    </xf>
    <xf numFmtId="43" fontId="37" fillId="26" borderId="0" xfId="74" applyFont="1" applyFill="1" applyAlignment="1">
      <alignment horizontal="left" vertical="center" wrapText="1"/>
    </xf>
    <xf numFmtId="43" fontId="31" fillId="26" borderId="0" xfId="74" applyFont="1" applyFill="1" applyAlignment="1">
      <alignment vertical="center"/>
    </xf>
    <xf numFmtId="43" fontId="29" fillId="26" borderId="0" xfId="74" applyFont="1" applyFill="1" applyBorder="1" applyAlignment="1">
      <alignment vertical="center" wrapText="1"/>
    </xf>
    <xf numFmtId="9" fontId="29" fillId="25" borderId="0" xfId="74" applyNumberFormat="1" applyFont="1" applyFill="1" applyBorder="1" applyAlignment="1">
      <alignment vertical="center" wrapText="1"/>
    </xf>
    <xf numFmtId="3" fontId="2" fillId="25" borderId="0" xfId="43" applyNumberFormat="1" applyFont="1" applyFill="1" applyBorder="1" applyAlignment="1">
      <alignment horizontal="center" vertical="center"/>
    </xf>
    <xf numFmtId="10" fontId="2" fillId="25" borderId="0" xfId="43" applyNumberFormat="1" applyFont="1" applyFill="1" applyBorder="1" applyAlignment="1">
      <alignment vertical="center"/>
    </xf>
    <xf numFmtId="43" fontId="40" fillId="25" borderId="0" xfId="74" applyFont="1" applyFill="1" applyAlignment="1">
      <alignment horizontal="left" vertical="center"/>
    </xf>
    <xf numFmtId="43" fontId="66" fillId="25" borderId="0" xfId="74" applyFont="1" applyFill="1" applyAlignment="1">
      <alignment horizontal="left" vertical="center"/>
    </xf>
    <xf numFmtId="4" fontId="39" fillId="25" borderId="0" xfId="43" applyNumberFormat="1" applyFont="1" applyFill="1" applyAlignment="1">
      <alignment horizontal="center" vertical="center"/>
    </xf>
    <xf numFmtId="43" fontId="36" fillId="25" borderId="0" xfId="0" applyNumberFormat="1" applyFont="1" applyFill="1"/>
    <xf numFmtId="0" fontId="36" fillId="25" borderId="0" xfId="0" applyFont="1" applyFill="1" applyAlignment="1"/>
    <xf numFmtId="0" fontId="36" fillId="25" borderId="0" xfId="0" applyFont="1" applyFill="1" applyAlignment="1">
      <alignment horizontal="center"/>
    </xf>
    <xf numFmtId="0" fontId="36" fillId="25" borderId="0" xfId="0" applyFont="1" applyFill="1"/>
    <xf numFmtId="43" fontId="36" fillId="25" borderId="0" xfId="74" applyFont="1" applyFill="1" applyAlignment="1">
      <alignment vertical="center"/>
    </xf>
    <xf numFmtId="43" fontId="36" fillId="25" borderId="0" xfId="74" applyFont="1" applyFill="1" applyAlignment="1">
      <alignment horizontal="center" vertical="center"/>
    </xf>
    <xf numFmtId="43" fontId="36" fillId="25" borderId="0" xfId="74" applyFont="1" applyFill="1" applyAlignment="1">
      <alignment vertical="center" wrapText="1"/>
    </xf>
    <xf numFmtId="43" fontId="67" fillId="0" borderId="0" xfId="74" applyFont="1" applyAlignment="1">
      <alignment vertical="center"/>
    </xf>
    <xf numFmtId="0" fontId="36" fillId="0" borderId="0" xfId="0" applyFont="1"/>
    <xf numFmtId="43" fontId="36" fillId="25" borderId="0" xfId="74" applyFont="1" applyFill="1" applyBorder="1" applyAlignment="1">
      <alignment horizontal="center" vertical="center"/>
    </xf>
    <xf numFmtId="0" fontId="43" fillId="24" borderId="0" xfId="42" applyFont="1" applyFill="1" applyBorder="1"/>
    <xf numFmtId="0" fontId="43" fillId="24" borderId="0" xfId="42" applyFont="1" applyFill="1" applyBorder="1" applyAlignment="1">
      <alignment wrapText="1"/>
    </xf>
    <xf numFmtId="0" fontId="43" fillId="24" borderId="0" xfId="42" applyFont="1" applyFill="1" applyBorder="1" applyAlignment="1"/>
    <xf numFmtId="43" fontId="36" fillId="25" borderId="0" xfId="74" applyFont="1" applyFill="1" applyBorder="1" applyAlignment="1">
      <alignment vertical="center"/>
    </xf>
    <xf numFmtId="43" fontId="36" fillId="25" borderId="0" xfId="74" applyFont="1" applyFill="1" applyBorder="1" applyAlignment="1">
      <alignment horizontal="left" vertical="center"/>
    </xf>
    <xf numFmtId="43" fontId="36" fillId="25" borderId="0" xfId="74" applyFont="1" applyFill="1" applyBorder="1" applyAlignment="1">
      <alignment horizontal="right" vertical="center"/>
    </xf>
    <xf numFmtId="0" fontId="43" fillId="25" borderId="0" xfId="42" applyFont="1" applyFill="1" applyBorder="1"/>
    <xf numFmtId="43" fontId="34" fillId="26" borderId="11" xfId="74" applyFont="1" applyFill="1" applyBorder="1" applyAlignment="1">
      <alignment horizontal="center" vertical="center" wrapText="1"/>
    </xf>
    <xf numFmtId="43" fontId="34" fillId="26" borderId="12" xfId="74" applyFont="1" applyFill="1" applyBorder="1" applyAlignment="1">
      <alignment horizontal="center" vertical="center" wrapText="1"/>
    </xf>
    <xf numFmtId="43" fontId="36" fillId="25" borderId="0" xfId="74" applyFont="1" applyFill="1" applyBorder="1" applyAlignment="1">
      <alignment horizontal="center" vertical="center"/>
    </xf>
    <xf numFmtId="43" fontId="67" fillId="0" borderId="0" xfId="74" applyFont="1" applyFill="1" applyBorder="1" applyAlignment="1">
      <alignment vertical="center"/>
    </xf>
    <xf numFmtId="0" fontId="36" fillId="0" borderId="0" xfId="0" applyFont="1" applyAlignment="1">
      <alignment horizontal="center"/>
    </xf>
    <xf numFmtId="7" fontId="36" fillId="25" borderId="11" xfId="33" applyNumberFormat="1" applyFont="1" applyFill="1" applyBorder="1" applyAlignment="1">
      <alignment horizontal="center" vertical="center"/>
    </xf>
    <xf numFmtId="39" fontId="36" fillId="0" borderId="12" xfId="74" applyNumberFormat="1" applyFont="1" applyFill="1" applyBorder="1" applyAlignment="1">
      <alignment horizontal="center" vertical="center"/>
    </xf>
    <xf numFmtId="43" fontId="67" fillId="0" borderId="0" xfId="74" applyFont="1" applyFill="1" applyBorder="1" applyAlignment="1">
      <alignment horizontal="center" vertical="center"/>
    </xf>
    <xf numFmtId="43" fontId="34" fillId="0" borderId="12" xfId="74" applyFont="1" applyFill="1" applyBorder="1" applyAlignment="1">
      <alignment vertical="center"/>
    </xf>
    <xf numFmtId="7" fontId="34" fillId="25" borderId="13" xfId="33" applyNumberFormat="1" applyFont="1" applyFill="1" applyBorder="1" applyAlignment="1">
      <alignment horizontal="center" vertical="center"/>
    </xf>
    <xf numFmtId="7" fontId="34" fillId="0" borderId="13" xfId="74" applyNumberFormat="1" applyFont="1" applyFill="1" applyBorder="1" applyAlignment="1">
      <alignment vertical="center"/>
    </xf>
    <xf numFmtId="0" fontId="36" fillId="25" borderId="0" xfId="0" applyFont="1" applyFill="1" applyAlignment="1">
      <alignment horizontal="center" wrapText="1"/>
    </xf>
    <xf numFmtId="0" fontId="67" fillId="0" borderId="0" xfId="0" applyFont="1"/>
    <xf numFmtId="0" fontId="36" fillId="25" borderId="0" xfId="0" applyFont="1" applyFill="1" applyAlignment="1">
      <alignment wrapText="1"/>
    </xf>
    <xf numFmtId="0" fontId="36" fillId="25" borderId="0" xfId="0" applyFont="1" applyFill="1" applyBorder="1" applyAlignment="1">
      <alignment horizontal="left"/>
    </xf>
    <xf numFmtId="0" fontId="36" fillId="25" borderId="14" xfId="0" applyFont="1" applyFill="1" applyBorder="1"/>
    <xf numFmtId="0" fontId="36" fillId="25" borderId="0" xfId="0" applyFont="1" applyFill="1" applyBorder="1" applyAlignment="1"/>
    <xf numFmtId="0" fontId="36" fillId="25" borderId="0" xfId="0" applyFont="1" applyFill="1" applyBorder="1" applyAlignment="1">
      <alignment horizontal="center"/>
    </xf>
    <xf numFmtId="0" fontId="36" fillId="25" borderId="14" xfId="0" applyFont="1" applyFill="1" applyBorder="1" applyAlignment="1">
      <alignment horizontal="center"/>
    </xf>
    <xf numFmtId="7" fontId="36" fillId="0" borderId="0" xfId="0" applyNumberFormat="1" applyFont="1" applyBorder="1" applyAlignment="1">
      <alignment horizontal="center"/>
    </xf>
    <xf numFmtId="4" fontId="36" fillId="25" borderId="0" xfId="0" applyNumberFormat="1" applyFont="1" applyFill="1" applyBorder="1" applyAlignment="1"/>
    <xf numFmtId="0" fontId="36" fillId="25" borderId="0" xfId="0" applyFont="1" applyFill="1" applyBorder="1"/>
    <xf numFmtId="0" fontId="36" fillId="25" borderId="0" xfId="0" applyFont="1" applyFill="1" applyBorder="1" applyAlignment="1">
      <alignment wrapText="1"/>
    </xf>
    <xf numFmtId="0" fontId="67" fillId="0" borderId="0" xfId="0" applyFont="1" applyBorder="1"/>
    <xf numFmtId="0" fontId="36" fillId="0" borderId="0" xfId="0" applyFont="1" applyBorder="1"/>
    <xf numFmtId="0" fontId="36" fillId="0" borderId="0" xfId="0" applyFont="1" applyBorder="1" applyAlignment="1">
      <alignment horizontal="center"/>
    </xf>
    <xf numFmtId="0" fontId="34" fillId="25" borderId="0" xfId="0" applyFont="1" applyFill="1" applyBorder="1" applyAlignment="1"/>
    <xf numFmtId="0" fontId="34" fillId="25" borderId="0" xfId="0" applyFont="1" applyFill="1" applyBorder="1" applyAlignment="1">
      <alignment horizontal="center"/>
    </xf>
    <xf numFmtId="7" fontId="36" fillId="25" borderId="0" xfId="0" applyNumberFormat="1" applyFont="1" applyFill="1" applyBorder="1" applyAlignment="1">
      <alignment horizontal="center"/>
    </xf>
    <xf numFmtId="4" fontId="44" fillId="25" borderId="14" xfId="0" applyNumberFormat="1" applyFont="1" applyFill="1" applyBorder="1" applyAlignment="1">
      <alignment vertical="center"/>
    </xf>
    <xf numFmtId="4" fontId="44" fillId="25" borderId="0" xfId="0" applyNumberFormat="1" applyFont="1" applyFill="1" applyBorder="1" applyAlignment="1">
      <alignment vertical="center"/>
    </xf>
    <xf numFmtId="4" fontId="30" fillId="25" borderId="0" xfId="0" applyNumberFormat="1" applyFont="1" applyFill="1" applyBorder="1" applyAlignment="1">
      <alignment vertical="center"/>
    </xf>
    <xf numFmtId="0" fontId="36" fillId="27" borderId="0" xfId="0" applyFont="1" applyFill="1" applyBorder="1"/>
    <xf numFmtId="0" fontId="36" fillId="27" borderId="15" xfId="0" applyFont="1" applyFill="1" applyBorder="1"/>
    <xf numFmtId="4" fontId="43" fillId="27" borderId="14" xfId="0" applyNumberFormat="1" applyFont="1" applyFill="1" applyBorder="1" applyAlignment="1">
      <alignment vertical="center"/>
    </xf>
    <xf numFmtId="4" fontId="43" fillId="27" borderId="0" xfId="0" applyNumberFormat="1" applyFont="1" applyFill="1" applyBorder="1" applyAlignment="1">
      <alignment horizontal="center" vertical="center"/>
    </xf>
    <xf numFmtId="4" fontId="45" fillId="27" borderId="16" xfId="0" applyNumberFormat="1" applyFont="1" applyFill="1" applyBorder="1" applyAlignment="1">
      <alignment vertical="center"/>
    </xf>
    <xf numFmtId="4" fontId="45" fillId="27" borderId="15" xfId="0" applyNumberFormat="1" applyFont="1" applyFill="1" applyBorder="1" applyAlignment="1">
      <alignment horizontal="center" vertical="center"/>
    </xf>
    <xf numFmtId="4" fontId="30" fillId="25" borderId="0" xfId="0" applyNumberFormat="1" applyFont="1" applyFill="1" applyAlignment="1">
      <alignment vertical="center"/>
    </xf>
    <xf numFmtId="4" fontId="45" fillId="25" borderId="11" xfId="0" applyNumberFormat="1" applyFont="1" applyFill="1" applyBorder="1" applyAlignment="1">
      <alignment horizontal="center" vertical="center"/>
    </xf>
    <xf numFmtId="4" fontId="43" fillId="25" borderId="11" xfId="0" applyNumberFormat="1" applyFont="1" applyFill="1" applyBorder="1" applyAlignment="1">
      <alignment vertical="center"/>
    </xf>
    <xf numFmtId="4" fontId="43" fillId="25" borderId="11" xfId="0" applyNumberFormat="1" applyFont="1" applyFill="1" applyBorder="1" applyAlignment="1">
      <alignment horizontal="center" vertical="center"/>
    </xf>
    <xf numFmtId="43" fontId="68" fillId="25" borderId="0" xfId="0" applyNumberFormat="1" applyFont="1" applyFill="1"/>
    <xf numFmtId="0" fontId="68" fillId="25" borderId="0" xfId="0" applyFont="1" applyFill="1" applyAlignment="1"/>
    <xf numFmtId="0" fontId="68" fillId="25" borderId="0" xfId="0" applyFont="1" applyFill="1" applyAlignment="1">
      <alignment horizontal="center"/>
    </xf>
    <xf numFmtId="0" fontId="68" fillId="25" borderId="0" xfId="0" applyFont="1" applyFill="1"/>
    <xf numFmtId="0" fontId="69" fillId="25" borderId="0" xfId="0" applyFont="1" applyFill="1"/>
    <xf numFmtId="7" fontId="68" fillId="25" borderId="0" xfId="0" applyNumberFormat="1" applyFont="1" applyFill="1" applyAlignment="1"/>
    <xf numFmtId="44" fontId="68" fillId="25" borderId="0" xfId="0" applyNumberFormat="1" applyFont="1" applyFill="1" applyAlignment="1">
      <alignment horizontal="center"/>
    </xf>
    <xf numFmtId="166" fontId="44" fillId="25" borderId="0" xfId="34" applyFont="1" applyFill="1" applyBorder="1" applyAlignment="1">
      <alignment vertical="center" shrinkToFit="1"/>
    </xf>
    <xf numFmtId="4" fontId="37" fillId="25" borderId="17" xfId="0" applyNumberFormat="1" applyFont="1" applyFill="1" applyBorder="1" applyAlignment="1">
      <alignment vertical="center"/>
    </xf>
    <xf numFmtId="44" fontId="45" fillId="25" borderId="0" xfId="0" applyNumberFormat="1" applyFont="1" applyFill="1" applyBorder="1" applyAlignment="1">
      <alignment horizontal="center"/>
    </xf>
    <xf numFmtId="0" fontId="45" fillId="25" borderId="0" xfId="0" applyFont="1" applyFill="1" applyBorder="1" applyAlignment="1">
      <alignment horizontal="center"/>
    </xf>
    <xf numFmtId="43" fontId="68" fillId="25" borderId="0" xfId="0" applyNumberFormat="1" applyFont="1" applyFill="1" applyAlignment="1">
      <alignment horizontal="left"/>
    </xf>
    <xf numFmtId="7" fontId="68" fillId="25" borderId="0" xfId="0" applyNumberFormat="1" applyFont="1" applyFill="1" applyAlignment="1">
      <alignment horizontal="center"/>
    </xf>
    <xf numFmtId="0" fontId="61" fillId="0" borderId="0" xfId="30"/>
    <xf numFmtId="0" fontId="70" fillId="0" borderId="0" xfId="0" applyFont="1"/>
    <xf numFmtId="0" fontId="70" fillId="25" borderId="0" xfId="0" applyFont="1" applyFill="1"/>
    <xf numFmtId="0" fontId="70" fillId="27" borderId="0" xfId="0" applyFont="1" applyFill="1"/>
    <xf numFmtId="0" fontId="71" fillId="27" borderId="0" xfId="0" applyFont="1" applyFill="1"/>
    <xf numFmtId="0" fontId="61" fillId="27" borderId="0" xfId="30" applyFill="1"/>
    <xf numFmtId="0" fontId="70" fillId="0" borderId="12" xfId="0" applyFont="1" applyBorder="1"/>
    <xf numFmtId="0" fontId="70" fillId="0" borderId="18" xfId="0" applyFont="1" applyBorder="1"/>
    <xf numFmtId="0" fontId="70" fillId="0" borderId="13" xfId="0" applyFont="1" applyBorder="1"/>
    <xf numFmtId="2" fontId="70" fillId="0" borderId="0" xfId="0" applyNumberFormat="1" applyFont="1" applyAlignment="1">
      <alignment horizontal="right"/>
    </xf>
    <xf numFmtId="0" fontId="61" fillId="28" borderId="18" xfId="30" applyFill="1" applyBorder="1"/>
    <xf numFmtId="0" fontId="70" fillId="28" borderId="18" xfId="0" applyFont="1" applyFill="1" applyBorder="1"/>
    <xf numFmtId="0" fontId="70" fillId="28" borderId="13" xfId="0" applyFont="1" applyFill="1" applyBorder="1"/>
    <xf numFmtId="0" fontId="70" fillId="0" borderId="0" xfId="0" applyFont="1" applyBorder="1" applyAlignment="1">
      <alignment horizontal="left" wrapText="1"/>
    </xf>
    <xf numFmtId="4" fontId="37" fillId="25" borderId="0" xfId="0" applyNumberFormat="1" applyFont="1" applyFill="1" applyBorder="1" applyAlignment="1">
      <alignment vertical="center"/>
    </xf>
    <xf numFmtId="0" fontId="49" fillId="25" borderId="0" xfId="0" applyFont="1" applyFill="1" applyBorder="1"/>
    <xf numFmtId="0" fontId="31" fillId="25" borderId="0" xfId="0" applyFont="1" applyFill="1" applyAlignment="1"/>
    <xf numFmtId="0" fontId="31" fillId="25" borderId="0" xfId="0" applyFont="1" applyFill="1" applyAlignment="1">
      <alignment horizontal="center"/>
    </xf>
    <xf numFmtId="0" fontId="31" fillId="25" borderId="0" xfId="0" applyFont="1" applyFill="1" applyAlignment="1">
      <alignment wrapText="1"/>
    </xf>
    <xf numFmtId="0" fontId="48" fillId="25" borderId="0" xfId="0" applyFont="1" applyFill="1" applyBorder="1"/>
    <xf numFmtId="43" fontId="72" fillId="25" borderId="0" xfId="74" applyFont="1" applyFill="1" applyAlignment="1">
      <alignment horizontal="left" vertical="center"/>
    </xf>
    <xf numFmtId="43" fontId="72" fillId="25" borderId="0" xfId="74" applyFont="1" applyFill="1" applyAlignment="1">
      <alignment horizontal="left" vertical="center" wrapText="1"/>
    </xf>
    <xf numFmtId="0" fontId="31" fillId="0" borderId="0" xfId="0" applyFont="1" applyFill="1"/>
    <xf numFmtId="43" fontId="42" fillId="25" borderId="0" xfId="74" applyFont="1" applyFill="1" applyBorder="1" applyAlignment="1">
      <alignment vertical="center"/>
    </xf>
    <xf numFmtId="43" fontId="49" fillId="25" borderId="0" xfId="74" applyFont="1" applyFill="1" applyAlignment="1">
      <alignment vertical="center"/>
    </xf>
    <xf numFmtId="43" fontId="49" fillId="25" borderId="0" xfId="74" applyFont="1" applyFill="1" applyAlignment="1">
      <alignment horizontal="center" vertical="center"/>
    </xf>
    <xf numFmtId="43" fontId="49" fillId="25" borderId="0" xfId="74" applyFont="1" applyFill="1" applyAlignment="1">
      <alignment vertical="center" wrapText="1"/>
    </xf>
    <xf numFmtId="0" fontId="49" fillId="0" borderId="0" xfId="0" applyFont="1"/>
    <xf numFmtId="43" fontId="49" fillId="25" borderId="0" xfId="74" applyFont="1" applyFill="1" applyBorder="1" applyAlignment="1">
      <alignment horizontal="center" vertical="center"/>
    </xf>
    <xf numFmtId="43" fontId="49" fillId="25" borderId="0" xfId="74" applyFont="1" applyFill="1" applyBorder="1" applyAlignment="1">
      <alignment horizontal="left" vertical="center"/>
    </xf>
    <xf numFmtId="43" fontId="49" fillId="25" borderId="0" xfId="74" applyFont="1" applyFill="1" applyBorder="1" applyAlignment="1">
      <alignment horizontal="right" vertical="center"/>
    </xf>
    <xf numFmtId="0" fontId="49" fillId="0" borderId="0" xfId="0" applyFont="1" applyAlignment="1">
      <alignment horizontal="center"/>
    </xf>
    <xf numFmtId="0" fontId="49" fillId="25" borderId="0" xfId="0" applyFont="1" applyFill="1"/>
    <xf numFmtId="0" fontId="49" fillId="25" borderId="0" xfId="0" applyFont="1" applyFill="1" applyAlignment="1">
      <alignment horizontal="center"/>
    </xf>
    <xf numFmtId="0" fontId="73" fillId="0" borderId="0" xfId="0" applyFont="1"/>
    <xf numFmtId="0" fontId="49" fillId="25" borderId="0" xfId="0" applyFont="1" applyFill="1" applyAlignment="1"/>
    <xf numFmtId="0" fontId="49" fillId="25" borderId="0" xfId="0" applyFont="1" applyFill="1" applyAlignment="1">
      <alignment wrapText="1"/>
    </xf>
    <xf numFmtId="43" fontId="49" fillId="25" borderId="0" xfId="0" applyNumberFormat="1" applyFont="1" applyFill="1"/>
    <xf numFmtId="0" fontId="49" fillId="25" borderId="0" xfId="0" applyFont="1" applyFill="1" applyBorder="1" applyAlignment="1">
      <alignment horizontal="center"/>
    </xf>
    <xf numFmtId="0" fontId="49" fillId="25" borderId="0" xfId="0" applyFont="1" applyFill="1" applyBorder="1" applyAlignment="1">
      <alignment wrapText="1"/>
    </xf>
    <xf numFmtId="7" fontId="49" fillId="25" borderId="0" xfId="0" applyNumberFormat="1" applyFont="1" applyFill="1" applyBorder="1"/>
    <xf numFmtId="0" fontId="49" fillId="25" borderId="0" xfId="0" applyFont="1" applyFill="1" applyBorder="1" applyAlignment="1"/>
    <xf numFmtId="7" fontId="49" fillId="25" borderId="0" xfId="0" applyNumberFormat="1" applyFont="1" applyFill="1" applyBorder="1" applyAlignment="1"/>
    <xf numFmtId="0" fontId="42" fillId="25" borderId="11" xfId="0" applyFont="1" applyFill="1" applyBorder="1"/>
    <xf numFmtId="0" fontId="49" fillId="25" borderId="11" xfId="0" applyFont="1" applyFill="1" applyBorder="1" applyAlignment="1">
      <alignment horizontal="center" wrapText="1"/>
    </xf>
    <xf numFmtId="0" fontId="49" fillId="0" borderId="0" xfId="0" applyFont="1" applyAlignment="1"/>
    <xf numFmtId="0" fontId="49" fillId="0" borderId="0" xfId="0" applyFont="1" applyAlignment="1">
      <alignment wrapText="1"/>
    </xf>
    <xf numFmtId="43" fontId="48" fillId="25" borderId="0" xfId="74" applyFont="1" applyFill="1" applyAlignment="1">
      <alignment vertical="center"/>
    </xf>
    <xf numFmtId="43" fontId="50" fillId="25" borderId="0" xfId="74" applyFont="1" applyFill="1" applyBorder="1" applyAlignment="1">
      <alignment vertical="center"/>
    </xf>
    <xf numFmtId="43" fontId="38" fillId="25" borderId="0" xfId="74" applyFont="1" applyFill="1" applyBorder="1" applyAlignment="1">
      <alignment vertical="center"/>
    </xf>
    <xf numFmtId="4" fontId="43" fillId="26" borderId="14" xfId="48" applyNumberFormat="1" applyFont="1" applyFill="1" applyBorder="1" applyAlignment="1">
      <alignment vertical="center"/>
    </xf>
    <xf numFmtId="4" fontId="43" fillId="26" borderId="0" xfId="48" applyNumberFormat="1" applyFont="1" applyFill="1" applyBorder="1" applyAlignment="1">
      <alignment vertical="center"/>
    </xf>
    <xf numFmtId="0" fontId="36" fillId="26" borderId="0" xfId="0" applyFont="1" applyFill="1" applyBorder="1"/>
    <xf numFmtId="4" fontId="43" fillId="26" borderId="16" xfId="48" applyNumberFormat="1" applyFont="1" applyFill="1" applyBorder="1" applyAlignment="1">
      <alignment vertical="center"/>
    </xf>
    <xf numFmtId="4" fontId="43" fillId="26" borderId="15" xfId="48" applyNumberFormat="1" applyFont="1" applyFill="1" applyBorder="1" applyAlignment="1">
      <alignment vertical="center"/>
    </xf>
    <xf numFmtId="0" fontId="36" fillId="26" borderId="15" xfId="0" applyFont="1" applyFill="1" applyBorder="1"/>
    <xf numFmtId="0" fontId="31" fillId="25" borderId="0" xfId="0" applyFont="1" applyFill="1" applyBorder="1"/>
    <xf numFmtId="0" fontId="31" fillId="25" borderId="0" xfId="0" applyFont="1" applyFill="1" applyBorder="1" applyAlignment="1">
      <alignment horizontal="center"/>
    </xf>
    <xf numFmtId="0" fontId="31" fillId="25" borderId="0" xfId="0" applyFont="1" applyFill="1" applyBorder="1" applyAlignment="1"/>
    <xf numFmtId="179" fontId="29" fillId="25" borderId="0" xfId="43" applyNumberFormat="1" applyFont="1" applyFill="1" applyBorder="1" applyAlignment="1">
      <alignment horizontal="left" vertical="center" wrapText="1"/>
    </xf>
    <xf numFmtId="4" fontId="43" fillId="25" borderId="0" xfId="48" applyNumberFormat="1" applyFont="1" applyFill="1" applyBorder="1" applyAlignment="1">
      <alignment vertical="center"/>
    </xf>
    <xf numFmtId="180" fontId="43" fillId="25" borderId="0" xfId="48" applyNumberFormat="1" applyFont="1" applyFill="1" applyBorder="1" applyAlignment="1">
      <alignment horizontal="center" vertical="center"/>
    </xf>
    <xf numFmtId="0" fontId="43" fillId="25" borderId="0" xfId="0" applyFont="1" applyFill="1" applyBorder="1" applyAlignment="1"/>
    <xf numFmtId="43" fontId="38" fillId="25" borderId="0" xfId="74" applyFont="1" applyFill="1" applyBorder="1" applyAlignment="1">
      <alignment horizontal="center" vertical="center"/>
    </xf>
    <xf numFmtId="8" fontId="34" fillId="25" borderId="0" xfId="0" applyNumberFormat="1" applyFont="1" applyFill="1" applyBorder="1" applyAlignment="1">
      <alignment horizontal="center" vertical="center"/>
    </xf>
    <xf numFmtId="0" fontId="43" fillId="25" borderId="0" xfId="0" applyFont="1" applyFill="1"/>
    <xf numFmtId="0" fontId="43" fillId="25" borderId="0" xfId="0" applyFont="1" applyFill="1" applyBorder="1"/>
    <xf numFmtId="0" fontId="43" fillId="0" borderId="0" xfId="0" applyFont="1" applyBorder="1"/>
    <xf numFmtId="0" fontId="43" fillId="0" borderId="0" xfId="0" applyFont="1"/>
    <xf numFmtId="0" fontId="52" fillId="25" borderId="0" xfId="0" applyFont="1" applyFill="1" applyBorder="1" applyAlignment="1"/>
    <xf numFmtId="0" fontId="43" fillId="25" borderId="11" xfId="0" applyFont="1" applyFill="1" applyBorder="1" applyAlignment="1">
      <alignment horizontal="center" vertical="center"/>
    </xf>
    <xf numFmtId="10" fontId="43" fillId="25" borderId="0" xfId="55" applyNumberFormat="1" applyFont="1" applyFill="1" applyBorder="1" applyAlignment="1">
      <alignment horizontal="left" vertical="center"/>
    </xf>
    <xf numFmtId="44" fontId="43" fillId="25" borderId="0" xfId="33" applyFont="1" applyFill="1" applyBorder="1" applyAlignment="1">
      <alignment vertical="center"/>
    </xf>
    <xf numFmtId="44" fontId="43" fillId="25" borderId="0" xfId="33" applyFont="1" applyFill="1" applyBorder="1" applyAlignment="1">
      <alignment horizontal="center" vertical="center"/>
    </xf>
    <xf numFmtId="4" fontId="43" fillId="25" borderId="0" xfId="0" applyNumberFormat="1" applyFont="1" applyFill="1" applyBorder="1"/>
    <xf numFmtId="44" fontId="43" fillId="25" borderId="0" xfId="0" applyNumberFormat="1" applyFont="1" applyFill="1" applyBorder="1"/>
    <xf numFmtId="10" fontId="43" fillId="0" borderId="0" xfId="55" applyNumberFormat="1" applyFont="1" applyBorder="1"/>
    <xf numFmtId="0" fontId="43" fillId="0" borderId="0" xfId="0" applyFont="1" applyFill="1"/>
    <xf numFmtId="10" fontId="43" fillId="25" borderId="0" xfId="0" applyNumberFormat="1" applyFont="1" applyFill="1" applyBorder="1"/>
    <xf numFmtId="0" fontId="0" fillId="0" borderId="0" xfId="0" applyBorder="1"/>
    <xf numFmtId="0" fontId="74" fillId="0" borderId="0" xfId="0" applyFont="1"/>
    <xf numFmtId="0" fontId="64" fillId="25" borderId="0" xfId="0" applyFont="1" applyFill="1" applyBorder="1"/>
    <xf numFmtId="0" fontId="0" fillId="0" borderId="0" xfId="0" applyBorder="1" applyAlignment="1"/>
    <xf numFmtId="0" fontId="0" fillId="25" borderId="0" xfId="0" applyFill="1"/>
    <xf numFmtId="0" fontId="31" fillId="0" borderId="0" xfId="0" applyFont="1" applyFill="1" applyBorder="1"/>
    <xf numFmtId="0" fontId="64" fillId="0" borderId="0" xfId="0" applyFont="1" applyFill="1" applyBorder="1"/>
    <xf numFmtId="0" fontId="31" fillId="0" borderId="0" xfId="0" applyFont="1" applyFill="1" applyBorder="1" applyAlignment="1">
      <alignment horizontal="center"/>
    </xf>
    <xf numFmtId="0" fontId="42" fillId="0" borderId="11" xfId="44" applyFont="1" applyBorder="1" applyAlignment="1">
      <alignment horizontal="center" vertical="center"/>
    </xf>
    <xf numFmtId="0" fontId="29" fillId="0" borderId="11" xfId="0" applyFont="1" applyBorder="1" applyAlignment="1">
      <alignment horizontal="center" vertical="center"/>
    </xf>
    <xf numFmtId="0" fontId="43" fillId="25" borderId="0" xfId="0" applyFont="1" applyFill="1" applyAlignment="1">
      <alignment horizontal="center" vertical="center"/>
    </xf>
    <xf numFmtId="0" fontId="30" fillId="0" borderId="0" xfId="0" applyFont="1"/>
    <xf numFmtId="0" fontId="53" fillId="0" borderId="0" xfId="0" applyFont="1" applyAlignment="1">
      <alignment horizontal="center"/>
    </xf>
    <xf numFmtId="0" fontId="43" fillId="25" borderId="17" xfId="0" applyFont="1" applyFill="1" applyBorder="1" applyAlignment="1">
      <alignment horizontal="left" vertical="top"/>
    </xf>
    <xf numFmtId="0" fontId="43" fillId="25" borderId="19" xfId="0" applyFont="1" applyFill="1" applyBorder="1" applyAlignment="1">
      <alignment horizontal="left" vertical="top"/>
    </xf>
    <xf numFmtId="0" fontId="43" fillId="25" borderId="20" xfId="0" applyFont="1" applyFill="1" applyBorder="1" applyAlignment="1">
      <alignment horizontal="left" vertical="top"/>
    </xf>
    <xf numFmtId="0" fontId="75" fillId="25" borderId="0" xfId="0" applyFont="1" applyFill="1" applyBorder="1" applyAlignment="1">
      <alignment horizontal="left" vertical="top"/>
    </xf>
    <xf numFmtId="0" fontId="75" fillId="0" borderId="0" xfId="0" applyFont="1" applyFill="1" applyBorder="1" applyAlignment="1">
      <alignment horizontal="left" vertical="top"/>
    </xf>
    <xf numFmtId="0" fontId="54" fillId="25" borderId="0" xfId="0" applyFont="1" applyFill="1" applyBorder="1" applyAlignment="1">
      <alignment vertical="top"/>
    </xf>
    <xf numFmtId="0" fontId="43" fillId="25" borderId="14" xfId="0" applyFont="1" applyFill="1" applyBorder="1" applyAlignment="1">
      <alignment horizontal="left" vertical="top"/>
    </xf>
    <xf numFmtId="0" fontId="43" fillId="25" borderId="0" xfId="0" applyFont="1" applyFill="1" applyBorder="1" applyAlignment="1">
      <alignment horizontal="left" vertical="top"/>
    </xf>
    <xf numFmtId="0" fontId="43" fillId="25" borderId="5" xfId="0" applyFont="1" applyFill="1" applyBorder="1" applyAlignment="1">
      <alignment horizontal="left" vertical="top"/>
    </xf>
    <xf numFmtId="10" fontId="43" fillId="25" borderId="21" xfId="55" applyNumberFormat="1" applyFont="1" applyFill="1" applyBorder="1" applyAlignment="1">
      <alignment horizontal="center" vertical="center"/>
    </xf>
    <xf numFmtId="10" fontId="43" fillId="25" borderId="21" xfId="55" applyNumberFormat="1" applyFont="1" applyFill="1" applyBorder="1" applyAlignment="1">
      <alignment horizontal="center" vertical="top"/>
    </xf>
    <xf numFmtId="0" fontId="75" fillId="25" borderId="14" xfId="0" applyFont="1" applyFill="1" applyBorder="1" applyAlignment="1">
      <alignment horizontal="left" vertical="top"/>
    </xf>
    <xf numFmtId="10" fontId="75" fillId="25" borderId="21" xfId="55" applyNumberFormat="1" applyFont="1" applyFill="1" applyBorder="1" applyAlignment="1">
      <alignment horizontal="center" vertical="center"/>
    </xf>
    <xf numFmtId="0" fontId="75" fillId="25" borderId="0" xfId="0" applyFont="1" applyFill="1" applyBorder="1" applyAlignment="1">
      <alignment horizontal="left" vertical="center"/>
    </xf>
    <xf numFmtId="0" fontId="75" fillId="25" borderId="5" xfId="0" applyFont="1" applyFill="1" applyBorder="1" applyAlignment="1">
      <alignment horizontal="left" vertical="top"/>
    </xf>
    <xf numFmtId="0" fontId="75" fillId="25" borderId="11" xfId="0" applyFont="1" applyFill="1" applyBorder="1" applyAlignment="1">
      <alignment horizontal="center" vertical="top"/>
    </xf>
    <xf numFmtId="10" fontId="75" fillId="25" borderId="11" xfId="0" applyNumberFormat="1" applyFont="1" applyFill="1" applyBorder="1" applyAlignment="1">
      <alignment horizontal="center" vertical="top"/>
    </xf>
    <xf numFmtId="0" fontId="43" fillId="0" borderId="22" xfId="0" applyFont="1" applyBorder="1"/>
    <xf numFmtId="0" fontId="43" fillId="0" borderId="23" xfId="0" applyFont="1" applyBorder="1"/>
    <xf numFmtId="0" fontId="43" fillId="0" borderId="24" xfId="0" applyFont="1" applyBorder="1"/>
    <xf numFmtId="0" fontId="45" fillId="0" borderId="25" xfId="0" applyFont="1" applyBorder="1" applyAlignment="1">
      <alignment horizontal="center"/>
    </xf>
    <xf numFmtId="0" fontId="45" fillId="0" borderId="11" xfId="0" applyFont="1" applyBorder="1" applyAlignment="1">
      <alignment horizontal="center"/>
    </xf>
    <xf numFmtId="0" fontId="45" fillId="0" borderId="26" xfId="0" applyFont="1" applyBorder="1" applyAlignment="1">
      <alignment horizontal="center"/>
    </xf>
    <xf numFmtId="0" fontId="43" fillId="0" borderId="25" xfId="0" applyFont="1" applyBorder="1"/>
    <xf numFmtId="0" fontId="43" fillId="0" borderId="11" xfId="0" applyFont="1" applyBorder="1"/>
    <xf numFmtId="0" fontId="43" fillId="0" borderId="26" xfId="0" applyFont="1" applyBorder="1"/>
    <xf numFmtId="10" fontId="43" fillId="0" borderId="26" xfId="57" applyNumberFormat="1" applyFont="1" applyBorder="1"/>
    <xf numFmtId="0" fontId="45" fillId="0" borderId="11" xfId="0" applyFont="1" applyBorder="1"/>
    <xf numFmtId="10" fontId="45" fillId="0" borderId="26" xfId="57" applyNumberFormat="1" applyFont="1" applyBorder="1"/>
    <xf numFmtId="0" fontId="43" fillId="0" borderId="27" xfId="0" applyFont="1" applyBorder="1"/>
    <xf numFmtId="0" fontId="45" fillId="0" borderId="28" xfId="0" applyFont="1" applyBorder="1"/>
    <xf numFmtId="10" fontId="45" fillId="0" borderId="29" xfId="57" applyNumberFormat="1" applyFont="1" applyBorder="1"/>
    <xf numFmtId="43" fontId="0" fillId="0" borderId="0" xfId="0" applyNumberFormat="1"/>
    <xf numFmtId="0" fontId="0" fillId="25" borderId="13" xfId="0" applyFill="1" applyBorder="1" applyAlignment="1"/>
    <xf numFmtId="0" fontId="30" fillId="25" borderId="11" xfId="0" applyFont="1" applyFill="1" applyBorder="1" applyAlignment="1">
      <alignment horizontal="center" vertical="center" wrapText="1"/>
    </xf>
    <xf numFmtId="49" fontId="30" fillId="0" borderId="0" xfId="0" applyNumberFormat="1" applyFont="1" applyFill="1" applyBorder="1" applyAlignment="1" applyProtection="1">
      <alignment horizontal="left" vertical="center" wrapText="1" shrinkToFit="1"/>
    </xf>
    <xf numFmtId="49" fontId="30" fillId="0" borderId="0" xfId="0" applyNumberFormat="1" applyFont="1" applyFill="1" applyBorder="1" applyAlignment="1" applyProtection="1">
      <alignment vertical="center" wrapText="1" shrinkToFit="1"/>
    </xf>
    <xf numFmtId="44" fontId="30" fillId="0" borderId="0" xfId="33" applyFont="1" applyFill="1" applyBorder="1" applyAlignment="1" applyProtection="1">
      <alignment vertical="center" wrapText="1" shrinkToFit="1"/>
    </xf>
    <xf numFmtId="0" fontId="45" fillId="25" borderId="11" xfId="0" applyFont="1" applyFill="1" applyBorder="1" applyAlignment="1">
      <alignment horizontal="center" vertical="center"/>
    </xf>
    <xf numFmtId="49" fontId="30" fillId="0" borderId="11" xfId="0" applyNumberFormat="1" applyFont="1" applyFill="1" applyBorder="1" applyAlignment="1" applyProtection="1">
      <alignment horizontal="left" vertical="center" wrapText="1" shrinkToFit="1"/>
    </xf>
    <xf numFmtId="182" fontId="76" fillId="29" borderId="0" xfId="0" applyNumberFormat="1" applyFont="1" applyFill="1" applyAlignment="1">
      <alignment horizontal="left"/>
    </xf>
    <xf numFmtId="49" fontId="30" fillId="0" borderId="11" xfId="0" applyNumberFormat="1" applyFont="1" applyFill="1" applyBorder="1" applyAlignment="1" applyProtection="1">
      <alignment horizontal="center" vertical="center" wrapText="1" shrinkToFit="1"/>
    </xf>
    <xf numFmtId="0" fontId="70" fillId="0" borderId="11" xfId="0" applyFont="1" applyBorder="1"/>
    <xf numFmtId="0" fontId="70" fillId="0" borderId="0" xfId="0" applyFont="1" applyBorder="1" applyAlignment="1">
      <alignment horizontal="center"/>
    </xf>
    <xf numFmtId="0" fontId="62" fillId="25" borderId="0" xfId="0" applyFont="1" applyFill="1"/>
    <xf numFmtId="0" fontId="2" fillId="0" borderId="0" xfId="0" applyFont="1"/>
    <xf numFmtId="3" fontId="36" fillId="25" borderId="11" xfId="0" applyNumberFormat="1" applyFont="1" applyFill="1" applyBorder="1" applyAlignment="1">
      <alignment horizontal="center"/>
    </xf>
    <xf numFmtId="0" fontId="76" fillId="0" borderId="0" xfId="0" applyFont="1" applyBorder="1" applyAlignment="1">
      <alignment horizontal="right"/>
    </xf>
    <xf numFmtId="44" fontId="76" fillId="0" borderId="0" xfId="33" applyFont="1" applyBorder="1" applyAlignment="1">
      <alignment horizontal="center"/>
    </xf>
    <xf numFmtId="0" fontId="76" fillId="25" borderId="0" xfId="0" applyFont="1" applyFill="1" applyBorder="1" applyAlignment="1">
      <alignment horizontal="right"/>
    </xf>
    <xf numFmtId="44" fontId="76" fillId="25" borderId="0" xfId="33" applyFont="1" applyFill="1" applyBorder="1" applyAlignment="1">
      <alignment horizontal="center"/>
    </xf>
    <xf numFmtId="43" fontId="0" fillId="25" borderId="0" xfId="0" applyNumberFormat="1" applyFill="1"/>
    <xf numFmtId="0" fontId="70" fillId="0" borderId="0" xfId="0" applyFont="1" applyBorder="1"/>
    <xf numFmtId="0" fontId="36" fillId="25" borderId="0" xfId="0" applyFont="1" applyFill="1" applyBorder="1" applyAlignment="1">
      <alignment horizontal="left" vertical="center" wrapText="1"/>
    </xf>
    <xf numFmtId="0" fontId="70" fillId="25" borderId="0" xfId="0" applyFont="1" applyFill="1" applyBorder="1"/>
    <xf numFmtId="44" fontId="70" fillId="0" borderId="0" xfId="33" applyFont="1" applyBorder="1" applyAlignment="1">
      <alignment horizontal="center"/>
    </xf>
    <xf numFmtId="0" fontId="77" fillId="25" borderId="18" xfId="0" applyFont="1" applyFill="1" applyBorder="1"/>
    <xf numFmtId="0" fontId="77" fillId="25" borderId="13" xfId="0" applyFont="1" applyFill="1" applyBorder="1"/>
    <xf numFmtId="0" fontId="77" fillId="25" borderId="19" xfId="0" applyFont="1" applyFill="1" applyBorder="1"/>
    <xf numFmtId="0" fontId="77" fillId="25" borderId="20" xfId="0" applyFont="1" applyFill="1" applyBorder="1"/>
    <xf numFmtId="0" fontId="78" fillId="25" borderId="18" xfId="0" applyFont="1" applyFill="1" applyBorder="1"/>
    <xf numFmtId="0" fontId="78" fillId="25" borderId="13" xfId="0" applyFont="1" applyFill="1" applyBorder="1"/>
    <xf numFmtId="0" fontId="78" fillId="25" borderId="19" xfId="0" applyFont="1" applyFill="1" applyBorder="1"/>
    <xf numFmtId="0" fontId="78" fillId="25" borderId="11" xfId="0" applyFont="1" applyFill="1" applyBorder="1"/>
    <xf numFmtId="0" fontId="78" fillId="0" borderId="0" xfId="0" applyFont="1"/>
    <xf numFmtId="0" fontId="78" fillId="25" borderId="0" xfId="0" applyFont="1" applyFill="1" applyBorder="1"/>
    <xf numFmtId="0" fontId="79" fillId="25" borderId="21" xfId="0" applyFont="1" applyFill="1" applyBorder="1" applyAlignment="1">
      <alignment horizontal="center"/>
    </xf>
    <xf numFmtId="0" fontId="79" fillId="25" borderId="30" xfId="0" applyFont="1" applyFill="1" applyBorder="1" applyAlignment="1">
      <alignment horizontal="center"/>
    </xf>
    <xf numFmtId="44" fontId="80" fillId="25" borderId="28" xfId="0" applyNumberFormat="1" applyFont="1" applyFill="1" applyBorder="1"/>
    <xf numFmtId="44" fontId="80" fillId="25" borderId="31" xfId="0" applyNumberFormat="1" applyFont="1" applyFill="1" applyBorder="1"/>
    <xf numFmtId="44" fontId="80" fillId="25" borderId="32" xfId="0" applyNumberFormat="1" applyFont="1" applyFill="1" applyBorder="1"/>
    <xf numFmtId="10" fontId="80" fillId="25" borderId="33" xfId="0" applyNumberFormat="1" applyFont="1" applyFill="1" applyBorder="1"/>
    <xf numFmtId="44" fontId="80" fillId="25" borderId="33" xfId="0" applyNumberFormat="1" applyFont="1" applyFill="1" applyBorder="1"/>
    <xf numFmtId="10" fontId="80" fillId="25" borderId="11" xfId="0" applyNumberFormat="1" applyFont="1" applyFill="1" applyBorder="1"/>
    <xf numFmtId="170" fontId="80" fillId="25" borderId="11" xfId="0" applyNumberFormat="1" applyFont="1" applyFill="1" applyBorder="1"/>
    <xf numFmtId="0" fontId="80" fillId="25" borderId="28" xfId="0" applyFont="1" applyFill="1" applyBorder="1"/>
    <xf numFmtId="170" fontId="80" fillId="25" borderId="28" xfId="0" applyNumberFormat="1" applyFont="1" applyFill="1" applyBorder="1"/>
    <xf numFmtId="10" fontId="80" fillId="25" borderId="28" xfId="0" applyNumberFormat="1" applyFont="1" applyFill="1" applyBorder="1"/>
    <xf numFmtId="0" fontId="80" fillId="25" borderId="0" xfId="0" applyFont="1" applyFill="1" applyBorder="1" applyAlignment="1">
      <alignment vertical="top" wrapText="1"/>
    </xf>
    <xf numFmtId="0" fontId="77" fillId="25" borderId="13" xfId="0" applyFont="1" applyFill="1" applyBorder="1" applyAlignment="1">
      <alignment horizontal="left"/>
    </xf>
    <xf numFmtId="43" fontId="46" fillId="25" borderId="0" xfId="74" applyFont="1" applyFill="1" applyBorder="1" applyAlignment="1">
      <alignment vertical="center" wrapText="1"/>
    </xf>
    <xf numFmtId="0" fontId="80" fillId="25" borderId="34" xfId="0" applyFont="1" applyFill="1" applyBorder="1"/>
    <xf numFmtId="0" fontId="80" fillId="25" borderId="35" xfId="0" applyFont="1" applyFill="1" applyBorder="1"/>
    <xf numFmtId="0" fontId="77" fillId="25" borderId="36" xfId="0" applyFont="1" applyFill="1" applyBorder="1"/>
    <xf numFmtId="0" fontId="79" fillId="25" borderId="37" xfId="0" applyFont="1" applyFill="1" applyBorder="1"/>
    <xf numFmtId="0" fontId="77" fillId="25" borderId="20" xfId="0" applyFont="1" applyFill="1" applyBorder="1" applyAlignment="1"/>
    <xf numFmtId="170" fontId="80" fillId="30" borderId="26" xfId="0" applyNumberFormat="1" applyFont="1" applyFill="1" applyBorder="1"/>
    <xf numFmtId="170" fontId="80" fillId="30" borderId="29" xfId="0" applyNumberFormat="1" applyFont="1" applyFill="1" applyBorder="1"/>
    <xf numFmtId="43" fontId="46" fillId="25" borderId="13" xfId="74" applyFont="1" applyFill="1" applyBorder="1" applyAlignment="1">
      <alignment horizontal="center" vertical="center" wrapText="1"/>
    </xf>
    <xf numFmtId="9" fontId="78" fillId="0" borderId="0" xfId="55" applyFont="1"/>
    <xf numFmtId="183" fontId="80" fillId="29" borderId="33" xfId="55" applyNumberFormat="1" applyFont="1" applyFill="1" applyBorder="1" applyAlignment="1">
      <alignment horizontal="center"/>
    </xf>
    <xf numFmtId="170" fontId="80" fillId="29" borderId="38" xfId="0" applyNumberFormat="1" applyFont="1" applyFill="1" applyBorder="1"/>
    <xf numFmtId="0" fontId="45" fillId="0" borderId="11" xfId="0" applyFont="1" applyFill="1" applyBorder="1" applyAlignment="1">
      <alignment horizontal="center" vertical="center"/>
    </xf>
    <xf numFmtId="1" fontId="36" fillId="25" borderId="11" xfId="0" applyNumberFormat="1" applyFont="1" applyFill="1" applyBorder="1" applyAlignment="1">
      <alignment horizontal="center"/>
    </xf>
    <xf numFmtId="1" fontId="49" fillId="25" borderId="11" xfId="0" applyNumberFormat="1" applyFont="1" applyFill="1" applyBorder="1" applyAlignment="1">
      <alignment horizontal="center" wrapText="1"/>
    </xf>
    <xf numFmtId="2" fontId="48" fillId="25" borderId="0" xfId="0" applyNumberFormat="1" applyFont="1" applyFill="1" applyBorder="1" applyAlignment="1">
      <alignment horizontal="center"/>
    </xf>
    <xf numFmtId="7" fontId="48" fillId="25" borderId="0" xfId="0" applyNumberFormat="1" applyFont="1" applyFill="1" applyBorder="1" applyAlignment="1"/>
    <xf numFmtId="4" fontId="42" fillId="25" borderId="0" xfId="44" applyNumberFormat="1" applyFont="1" applyFill="1" applyBorder="1" applyAlignment="1">
      <alignment vertical="center"/>
    </xf>
    <xf numFmtId="44" fontId="29" fillId="25" borderId="0" xfId="33" applyFont="1" applyFill="1" applyBorder="1" applyAlignment="1"/>
    <xf numFmtId="0" fontId="34" fillId="25" borderId="0" xfId="0" applyFont="1" applyFill="1" applyBorder="1" applyAlignment="1">
      <alignment horizontal="left"/>
    </xf>
    <xf numFmtId="44" fontId="36" fillId="25" borderId="0" xfId="33" applyFont="1" applyFill="1" applyBorder="1" applyAlignment="1">
      <alignment horizontal="center"/>
    </xf>
    <xf numFmtId="43" fontId="37" fillId="25" borderId="0" xfId="74" applyFont="1" applyFill="1" applyAlignment="1">
      <alignment horizontal="left" vertical="center"/>
    </xf>
    <xf numFmtId="43" fontId="36" fillId="25" borderId="0" xfId="74" applyFont="1" applyFill="1" applyBorder="1" applyAlignment="1">
      <alignment horizontal="center" vertical="center"/>
    </xf>
    <xf numFmtId="44" fontId="0" fillId="0" borderId="0" xfId="0" applyNumberFormat="1"/>
    <xf numFmtId="44" fontId="80" fillId="25" borderId="14" xfId="0" applyNumberFormat="1" applyFont="1" applyFill="1" applyBorder="1"/>
    <xf numFmtId="43" fontId="59" fillId="0" borderId="0" xfId="74" applyFont="1"/>
    <xf numFmtId="0" fontId="0" fillId="0" borderId="0" xfId="0" applyAlignment="1">
      <alignment horizontal="center" vertical="center"/>
    </xf>
    <xf numFmtId="7" fontId="36" fillId="25" borderId="11" xfId="33" applyNumberFormat="1" applyFont="1" applyFill="1" applyBorder="1" applyAlignment="1">
      <alignment horizontal="center" vertical="center"/>
    </xf>
    <xf numFmtId="43" fontId="34" fillId="26" borderId="11" xfId="74" applyFont="1" applyFill="1" applyBorder="1" applyAlignment="1">
      <alignment horizontal="center" vertical="center" wrapText="1"/>
    </xf>
    <xf numFmtId="43" fontId="36" fillId="25" borderId="18" xfId="74" applyFont="1" applyFill="1" applyBorder="1" applyAlignment="1">
      <alignment horizontal="center" vertical="center"/>
    </xf>
    <xf numFmtId="43" fontId="29" fillId="26" borderId="0" xfId="74" applyFont="1" applyFill="1" applyBorder="1" applyAlignment="1">
      <alignment vertical="center" wrapText="1"/>
    </xf>
    <xf numFmtId="43" fontId="37" fillId="25" borderId="0" xfId="74" applyFont="1" applyFill="1" applyAlignment="1">
      <alignment horizontal="left" vertical="center"/>
    </xf>
    <xf numFmtId="43" fontId="29" fillId="26" borderId="0" xfId="74" applyFont="1" applyFill="1" applyAlignment="1">
      <alignment vertical="center" wrapText="1"/>
    </xf>
    <xf numFmtId="43" fontId="34" fillId="26" borderId="12" xfId="74" applyFont="1" applyFill="1" applyBorder="1" applyAlignment="1">
      <alignment horizontal="center" vertical="center" wrapText="1"/>
    </xf>
    <xf numFmtId="0" fontId="70" fillId="0" borderId="12" xfId="0" applyFont="1" applyBorder="1" applyAlignment="1">
      <alignment horizontal="left"/>
    </xf>
    <xf numFmtId="0" fontId="70" fillId="0" borderId="18" xfId="0" applyFont="1" applyBorder="1" applyAlignment="1">
      <alignment horizontal="left"/>
    </xf>
    <xf numFmtId="0" fontId="70" fillId="0" borderId="13" xfId="0" applyFont="1" applyBorder="1" applyAlignment="1">
      <alignment horizontal="left"/>
    </xf>
    <xf numFmtId="4" fontId="29" fillId="25" borderId="12" xfId="0" applyNumberFormat="1" applyFont="1" applyFill="1" applyBorder="1" applyAlignment="1">
      <alignment horizontal="left" vertical="center"/>
    </xf>
    <xf numFmtId="4" fontId="29" fillId="25" borderId="18" xfId="0" applyNumberFormat="1" applyFont="1" applyFill="1" applyBorder="1" applyAlignment="1">
      <alignment horizontal="left" vertical="center"/>
    </xf>
    <xf numFmtId="4" fontId="29" fillId="25" borderId="13" xfId="0" applyNumberFormat="1" applyFont="1" applyFill="1" applyBorder="1" applyAlignment="1">
      <alignment horizontal="left" vertical="center"/>
    </xf>
    <xf numFmtId="4" fontId="47" fillId="25" borderId="11" xfId="0" applyNumberFormat="1" applyFont="1" applyFill="1" applyBorder="1" applyAlignment="1">
      <alignment horizontal="left" vertical="center"/>
    </xf>
    <xf numFmtId="4" fontId="29" fillId="25" borderId="11" xfId="0" applyNumberFormat="1" applyFont="1" applyFill="1" applyBorder="1" applyAlignment="1">
      <alignment horizontal="left" vertical="center"/>
    </xf>
    <xf numFmtId="43" fontId="31" fillId="25" borderId="0" xfId="74" applyFont="1" applyFill="1" applyBorder="1" applyAlignment="1">
      <alignment vertical="center"/>
    </xf>
    <xf numFmtId="3" fontId="2" fillId="25" borderId="14" xfId="43" applyNumberFormat="1" applyFont="1" applyFill="1" applyBorder="1" applyAlignment="1">
      <alignment horizontal="center" vertical="center"/>
    </xf>
    <xf numFmtId="0" fontId="45" fillId="25" borderId="11" xfId="0" applyFont="1" applyFill="1" applyBorder="1" applyAlignment="1">
      <alignment horizontal="center" vertical="center"/>
    </xf>
    <xf numFmtId="43" fontId="37" fillId="25" borderId="0" xfId="74" applyFont="1" applyFill="1" applyAlignment="1">
      <alignment horizontal="left" vertical="center"/>
    </xf>
    <xf numFmtId="43" fontId="36" fillId="25" borderId="18" xfId="74" applyFont="1" applyFill="1" applyBorder="1" applyAlignment="1">
      <alignment horizontal="center" vertical="center"/>
    </xf>
    <xf numFmtId="43" fontId="34" fillId="26" borderId="11" xfId="74" applyFont="1" applyFill="1" applyBorder="1" applyAlignment="1">
      <alignment horizontal="center" vertical="center"/>
    </xf>
    <xf numFmtId="43" fontId="34" fillId="26" borderId="11" xfId="74" applyFont="1" applyFill="1" applyBorder="1" applyAlignment="1">
      <alignment horizontal="center" vertical="center" wrapText="1"/>
    </xf>
    <xf numFmtId="43" fontId="36" fillId="25" borderId="0" xfId="74" applyFont="1" applyFill="1" applyBorder="1" applyAlignment="1">
      <alignment horizontal="center" vertical="center"/>
    </xf>
    <xf numFmtId="39" fontId="36" fillId="0" borderId="11" xfId="74" applyNumberFormat="1" applyFont="1" applyFill="1" applyBorder="1" applyAlignment="1">
      <alignment horizontal="center" vertical="center"/>
    </xf>
    <xf numFmtId="7" fontId="36" fillId="25" borderId="11" xfId="33" applyNumberFormat="1" applyFont="1" applyFill="1" applyBorder="1" applyAlignment="1">
      <alignment horizontal="center" vertical="center"/>
    </xf>
    <xf numFmtId="7" fontId="34" fillId="25" borderId="11" xfId="33" applyNumberFormat="1" applyFont="1" applyFill="1" applyBorder="1" applyAlignment="1">
      <alignment horizontal="center" vertical="center"/>
    </xf>
    <xf numFmtId="0" fontId="34" fillId="25" borderId="11" xfId="0" applyFont="1" applyFill="1" applyBorder="1" applyAlignment="1">
      <alignment horizontal="center"/>
    </xf>
    <xf numFmtId="0" fontId="34" fillId="25" borderId="0" xfId="0" applyFont="1" applyFill="1" applyBorder="1" applyAlignment="1">
      <alignment horizontal="left"/>
    </xf>
    <xf numFmtId="0" fontId="36" fillId="25" borderId="11" xfId="0" applyFont="1" applyFill="1" applyBorder="1" applyAlignment="1">
      <alignment horizontal="center"/>
    </xf>
    <xf numFmtId="4" fontId="43" fillId="25" borderId="11" xfId="0" applyNumberFormat="1" applyFont="1" applyFill="1" applyBorder="1" applyAlignment="1">
      <alignment horizontal="center" vertical="center"/>
    </xf>
    <xf numFmtId="4" fontId="45" fillId="25" borderId="11" xfId="0" applyNumberFormat="1" applyFont="1" applyFill="1" applyBorder="1" applyAlignment="1">
      <alignment horizontal="center" vertical="center"/>
    </xf>
    <xf numFmtId="0" fontId="34" fillId="25" borderId="11" xfId="0" applyFont="1" applyFill="1" applyBorder="1" applyAlignment="1">
      <alignment horizontal="center" vertical="center"/>
    </xf>
    <xf numFmtId="7" fontId="33" fillId="25" borderId="11" xfId="33" applyNumberFormat="1" applyFont="1" applyFill="1" applyBorder="1" applyAlignment="1">
      <alignment horizontal="center" vertical="center"/>
    </xf>
    <xf numFmtId="44" fontId="81" fillId="0" borderId="0" xfId="0" applyNumberFormat="1" applyFont="1" applyAlignment="1">
      <alignment horizontal="center"/>
    </xf>
    <xf numFmtId="43" fontId="70" fillId="25" borderId="0" xfId="0" applyNumberFormat="1" applyFont="1" applyFill="1" applyBorder="1" applyAlignment="1">
      <alignment vertical="center" wrapText="1"/>
    </xf>
    <xf numFmtId="0" fontId="70" fillId="25" borderId="0" xfId="0" applyFont="1" applyFill="1" applyBorder="1" applyAlignment="1">
      <alignment vertical="center" wrapText="1"/>
    </xf>
    <xf numFmtId="0" fontId="70" fillId="25" borderId="0" xfId="0" applyFont="1" applyFill="1" applyBorder="1" applyAlignment="1">
      <alignment horizontal="left" vertical="center" wrapText="1"/>
    </xf>
    <xf numFmtId="0" fontId="70" fillId="25" borderId="16" xfId="0" applyFont="1" applyFill="1" applyBorder="1"/>
    <xf numFmtId="7" fontId="70" fillId="25" borderId="11" xfId="0" applyNumberFormat="1" applyFont="1" applyFill="1" applyBorder="1"/>
    <xf numFmtId="7" fontId="30" fillId="0" borderId="11" xfId="33" applyNumberFormat="1" applyFont="1" applyFill="1" applyBorder="1" applyAlignment="1" applyProtection="1">
      <alignment vertical="center" wrapText="1" shrinkToFit="1"/>
    </xf>
    <xf numFmtId="7" fontId="30" fillId="0" borderId="11" xfId="33" applyNumberFormat="1" applyFont="1" applyFill="1" applyBorder="1" applyAlignment="1" applyProtection="1">
      <alignment horizontal="left" vertical="center" wrapText="1" shrinkToFit="1"/>
    </xf>
    <xf numFmtId="7" fontId="76" fillId="0" borderId="0" xfId="33" applyNumberFormat="1" applyFont="1" applyBorder="1" applyAlignment="1">
      <alignment horizontal="center"/>
    </xf>
    <xf numFmtId="0" fontId="70" fillId="25" borderId="39" xfId="0" applyFont="1" applyFill="1" applyBorder="1"/>
    <xf numFmtId="0" fontId="70" fillId="0" borderId="39" xfId="0" applyFont="1" applyBorder="1"/>
    <xf numFmtId="43" fontId="70" fillId="25" borderId="39" xfId="0" applyNumberFormat="1" applyFont="1" applyFill="1" applyBorder="1" applyAlignment="1">
      <alignment vertical="center" wrapText="1"/>
    </xf>
    <xf numFmtId="0" fontId="70" fillId="25" borderId="39" xfId="0" applyFont="1" applyFill="1" applyBorder="1" applyAlignment="1">
      <alignment horizontal="left" vertical="center" wrapText="1"/>
    </xf>
    <xf numFmtId="0" fontId="70" fillId="25" borderId="39" xfId="0" applyFont="1" applyFill="1" applyBorder="1" applyAlignment="1">
      <alignment vertical="center" wrapText="1"/>
    </xf>
    <xf numFmtId="0" fontId="70" fillId="25" borderId="11" xfId="0" applyFont="1" applyFill="1" applyBorder="1" applyAlignment="1">
      <alignment vertical="center"/>
    </xf>
    <xf numFmtId="189" fontId="70" fillId="0" borderId="11" xfId="0" applyNumberFormat="1" applyFont="1" applyBorder="1" applyAlignment="1">
      <alignment horizontal="center"/>
    </xf>
    <xf numFmtId="0" fontId="0" fillId="25" borderId="0" xfId="0" applyFill="1" applyAlignment="1">
      <alignment horizontal="center"/>
    </xf>
    <xf numFmtId="0" fontId="0" fillId="25" borderId="0" xfId="0" applyFill="1" applyBorder="1" applyAlignment="1"/>
    <xf numFmtId="39" fontId="0" fillId="25" borderId="11" xfId="0" applyNumberFormat="1" applyFill="1" applyBorder="1" applyAlignment="1"/>
    <xf numFmtId="0" fontId="0" fillId="25" borderId="11" xfId="0" applyFill="1" applyBorder="1" applyAlignment="1"/>
    <xf numFmtId="188" fontId="0" fillId="25" borderId="11" xfId="0" applyNumberFormat="1" applyFill="1" applyBorder="1" applyAlignment="1"/>
    <xf numFmtId="0" fontId="62" fillId="27" borderId="11" xfId="0" applyFont="1" applyFill="1" applyBorder="1" applyAlignment="1"/>
    <xf numFmtId="0" fontId="62" fillId="27" borderId="13" xfId="0" applyFont="1" applyFill="1" applyBorder="1" applyAlignment="1"/>
    <xf numFmtId="188" fontId="62" fillId="27" borderId="11" xfId="0" applyNumberFormat="1" applyFont="1" applyFill="1" applyBorder="1" applyAlignment="1"/>
    <xf numFmtId="0" fontId="62" fillId="25" borderId="11" xfId="0" applyFont="1" applyFill="1" applyBorder="1" applyAlignment="1">
      <alignment horizontal="center"/>
    </xf>
    <xf numFmtId="188" fontId="82" fillId="0" borderId="21" xfId="0" applyNumberFormat="1" applyFont="1" applyBorder="1" applyAlignment="1"/>
    <xf numFmtId="43" fontId="62" fillId="25" borderId="0" xfId="0" applyNumberFormat="1" applyFont="1" applyFill="1" applyAlignment="1">
      <alignment vertical="top" wrapText="1"/>
    </xf>
    <xf numFmtId="43" fontId="62" fillId="25" borderId="0" xfId="0" applyNumberFormat="1" applyFont="1" applyFill="1" applyAlignment="1">
      <alignment wrapText="1"/>
    </xf>
    <xf numFmtId="0" fontId="62" fillId="25" borderId="13" xfId="0" applyFont="1" applyFill="1" applyBorder="1" applyAlignment="1">
      <alignment horizontal="center"/>
    </xf>
    <xf numFmtId="43" fontId="45" fillId="25" borderId="11" xfId="74" applyFont="1" applyFill="1" applyBorder="1" applyAlignment="1">
      <alignment horizontal="left" vertical="center"/>
    </xf>
    <xf numFmtId="43" fontId="43" fillId="25" borderId="11" xfId="74" applyFont="1" applyFill="1" applyBorder="1" applyAlignment="1">
      <alignment horizontal="left" vertical="center"/>
    </xf>
    <xf numFmtId="43" fontId="45" fillId="31" borderId="11" xfId="74" applyFont="1" applyFill="1" applyBorder="1" applyAlignment="1">
      <alignment horizontal="left" vertical="center"/>
    </xf>
    <xf numFmtId="43" fontId="73" fillId="26" borderId="0" xfId="74" applyFont="1" applyFill="1" applyAlignment="1">
      <alignment vertical="center" wrapText="1"/>
    </xf>
    <xf numFmtId="43" fontId="29" fillId="26" borderId="0" xfId="74" applyFont="1" applyFill="1" applyAlignment="1">
      <alignment vertical="center"/>
    </xf>
    <xf numFmtId="43" fontId="73" fillId="26" borderId="0" xfId="74" applyFont="1" applyFill="1" applyAlignment="1">
      <alignment vertical="center"/>
    </xf>
    <xf numFmtId="43" fontId="29" fillId="26" borderId="0" xfId="74" applyFont="1" applyFill="1" applyBorder="1" applyAlignment="1">
      <alignment vertical="center"/>
    </xf>
    <xf numFmtId="43" fontId="43" fillId="25" borderId="18" xfId="74" applyFont="1" applyFill="1" applyBorder="1" applyAlignment="1">
      <alignment horizontal="left" vertical="center"/>
    </xf>
    <xf numFmtId="43" fontId="43" fillId="25" borderId="18" xfId="74" applyFont="1" applyFill="1" applyBorder="1" applyAlignment="1">
      <alignment horizontal="left" vertical="center" wrapText="1"/>
    </xf>
    <xf numFmtId="43" fontId="36" fillId="25" borderId="18" xfId="74" applyFont="1" applyFill="1" applyBorder="1" applyAlignment="1">
      <alignment horizontal="center" vertical="center" wrapText="1"/>
    </xf>
    <xf numFmtId="43" fontId="43" fillId="25" borderId="18" xfId="74" applyFont="1" applyFill="1" applyBorder="1" applyAlignment="1">
      <alignment horizontal="left" vertical="center" wrapText="1"/>
    </xf>
    <xf numFmtId="43" fontId="45" fillId="25" borderId="0" xfId="74" applyFont="1" applyFill="1" applyBorder="1" applyAlignment="1">
      <alignment horizontal="center" vertical="center"/>
    </xf>
    <xf numFmtId="43" fontId="34" fillId="25" borderId="0" xfId="74" applyFont="1" applyFill="1" applyBorder="1" applyAlignment="1">
      <alignment horizontal="center" vertical="center" wrapText="1"/>
    </xf>
    <xf numFmtId="49" fontId="39" fillId="25" borderId="0" xfId="43" applyNumberFormat="1" applyFont="1" applyFill="1" applyBorder="1" applyAlignment="1">
      <alignment vertical="center"/>
    </xf>
    <xf numFmtId="4" fontId="39" fillId="25" borderId="0" xfId="43" applyNumberFormat="1" applyFont="1" applyFill="1" applyAlignment="1">
      <alignment horizontal="left" vertical="center"/>
    </xf>
    <xf numFmtId="49" fontId="2" fillId="25" borderId="12" xfId="43" applyNumberFormat="1" applyFont="1" applyFill="1" applyBorder="1" applyAlignment="1">
      <alignment vertical="center"/>
    </xf>
    <xf numFmtId="49" fontId="2" fillId="25" borderId="18" xfId="43" applyNumberFormat="1" applyFont="1" applyFill="1" applyBorder="1" applyAlignment="1">
      <alignment vertical="center"/>
    </xf>
    <xf numFmtId="43" fontId="56" fillId="25" borderId="18" xfId="74" applyFont="1" applyFill="1" applyBorder="1" applyAlignment="1">
      <alignment vertical="center"/>
    </xf>
    <xf numFmtId="7" fontId="56" fillId="25" borderId="18" xfId="74" applyNumberFormat="1" applyFont="1" applyFill="1" applyBorder="1" applyAlignment="1">
      <alignment vertical="center"/>
    </xf>
    <xf numFmtId="43" fontId="56" fillId="25" borderId="18" xfId="74" applyFont="1" applyFill="1" applyBorder="1" applyAlignment="1">
      <alignment vertical="center" wrapText="1"/>
    </xf>
    <xf numFmtId="43" fontId="56" fillId="25" borderId="13" xfId="74" applyFont="1" applyFill="1" applyBorder="1" applyAlignment="1">
      <alignment vertical="center" wrapText="1"/>
    </xf>
    <xf numFmtId="39" fontId="36" fillId="0" borderId="11" xfId="74" applyNumberFormat="1" applyFont="1" applyFill="1" applyBorder="1" applyAlignment="1">
      <alignment vertical="center"/>
    </xf>
    <xf numFmtId="43" fontId="34" fillId="0" borderId="11" xfId="74" applyFont="1" applyBorder="1" applyAlignment="1">
      <alignment vertical="center"/>
    </xf>
    <xf numFmtId="43" fontId="34" fillId="25" borderId="0" xfId="74" applyFont="1" applyFill="1" applyAlignment="1">
      <alignment vertical="center"/>
    </xf>
    <xf numFmtId="3" fontId="39" fillId="25" borderId="0" xfId="43" applyNumberFormat="1" applyFont="1" applyFill="1" applyBorder="1" applyAlignment="1">
      <alignment vertical="center"/>
    </xf>
    <xf numFmtId="0" fontId="31" fillId="26" borderId="0" xfId="0" applyFont="1" applyFill="1" applyAlignment="1"/>
    <xf numFmtId="4" fontId="2" fillId="25" borderId="11" xfId="43" applyNumberFormat="1" applyFont="1" applyFill="1" applyBorder="1" applyAlignment="1">
      <alignment horizontal="center" vertical="center"/>
    </xf>
    <xf numFmtId="4" fontId="2" fillId="25" borderId="11" xfId="43" applyNumberFormat="1" applyFont="1" applyFill="1" applyBorder="1" applyAlignment="1">
      <alignment vertical="center"/>
    </xf>
    <xf numFmtId="4" fontId="39" fillId="25" borderId="11" xfId="43" applyNumberFormat="1" applyFont="1" applyFill="1" applyBorder="1" applyAlignment="1">
      <alignment horizontal="center" vertical="center"/>
    </xf>
    <xf numFmtId="4" fontId="39" fillId="25" borderId="11" xfId="43" applyNumberFormat="1" applyFont="1" applyFill="1" applyBorder="1" applyAlignment="1">
      <alignment vertical="center"/>
    </xf>
    <xf numFmtId="3" fontId="2" fillId="0" borderId="11" xfId="43" applyNumberFormat="1" applyFont="1" applyFill="1" applyBorder="1" applyAlignment="1">
      <alignment vertical="center"/>
    </xf>
    <xf numFmtId="0" fontId="41" fillId="27" borderId="11" xfId="0" applyFont="1" applyFill="1" applyBorder="1" applyAlignment="1">
      <alignment horizontal="left"/>
    </xf>
    <xf numFmtId="0" fontId="36" fillId="27" borderId="11" xfId="0" applyFont="1" applyFill="1" applyBorder="1"/>
    <xf numFmtId="44" fontId="34" fillId="27" borderId="11" xfId="33" applyFont="1" applyFill="1" applyBorder="1" applyAlignment="1"/>
    <xf numFmtId="44" fontId="68" fillId="0" borderId="0" xfId="0" applyNumberFormat="1" applyFont="1" applyFill="1" applyAlignment="1"/>
    <xf numFmtId="4" fontId="37" fillId="32" borderId="0" xfId="0" applyNumberFormat="1" applyFont="1" applyFill="1" applyBorder="1" applyAlignment="1">
      <alignment vertical="center"/>
    </xf>
    <xf numFmtId="44" fontId="68" fillId="32" borderId="0" xfId="0" applyNumberFormat="1" applyFont="1" applyFill="1" applyAlignment="1">
      <alignment horizontal="center" vertical="center"/>
    </xf>
    <xf numFmtId="43" fontId="45" fillId="33" borderId="11" xfId="74" applyFont="1" applyFill="1" applyBorder="1" applyAlignment="1">
      <alignment horizontal="left" vertical="center"/>
    </xf>
    <xf numFmtId="43" fontId="46" fillId="34" borderId="18" xfId="74" applyFont="1" applyFill="1" applyBorder="1" applyAlignment="1">
      <alignment vertical="center"/>
    </xf>
    <xf numFmtId="43" fontId="38" fillId="35" borderId="0" xfId="74" applyFont="1" applyFill="1" applyAlignment="1">
      <alignment vertical="center" wrapText="1"/>
    </xf>
    <xf numFmtId="43" fontId="46" fillId="34" borderId="13" xfId="74" applyFont="1" applyFill="1" applyBorder="1" applyAlignment="1">
      <alignment vertical="center"/>
    </xf>
    <xf numFmtId="43" fontId="48" fillId="27" borderId="11" xfId="74" applyFont="1" applyFill="1" applyBorder="1" applyAlignment="1">
      <alignment vertical="center"/>
    </xf>
    <xf numFmtId="43" fontId="50" fillId="27" borderId="11" xfId="74" applyFont="1" applyFill="1" applyBorder="1" applyAlignment="1">
      <alignment horizontal="center" vertical="center"/>
    </xf>
    <xf numFmtId="7" fontId="48" fillId="27" borderId="11" xfId="74" applyNumberFormat="1" applyFont="1" applyFill="1" applyBorder="1" applyAlignment="1">
      <alignment vertical="center"/>
    </xf>
    <xf numFmtId="7" fontId="34" fillId="25" borderId="11" xfId="33" applyNumberFormat="1" applyFont="1" applyFill="1" applyBorder="1" applyAlignment="1">
      <alignment vertical="center"/>
    </xf>
    <xf numFmtId="7" fontId="36" fillId="25" borderId="11" xfId="33" applyNumberFormat="1" applyFont="1" applyFill="1" applyBorder="1" applyAlignment="1">
      <alignment vertical="center"/>
    </xf>
    <xf numFmtId="43" fontId="34" fillId="0" borderId="11" xfId="74" applyFont="1" applyFill="1" applyBorder="1" applyAlignment="1">
      <alignment vertical="center"/>
    </xf>
    <xf numFmtId="7" fontId="34" fillId="0" borderId="11" xfId="74" applyNumberFormat="1" applyFont="1" applyFill="1" applyBorder="1" applyAlignment="1">
      <alignment vertical="center"/>
    </xf>
    <xf numFmtId="0" fontId="34" fillId="26" borderId="11" xfId="74" applyNumberFormat="1" applyFont="1" applyFill="1" applyBorder="1" applyAlignment="1">
      <alignment horizontal="center" vertical="center" wrapText="1"/>
    </xf>
    <xf numFmtId="0" fontId="45" fillId="25" borderId="12" xfId="0" applyFont="1" applyFill="1" applyBorder="1" applyAlignment="1">
      <alignment vertical="center"/>
    </xf>
    <xf numFmtId="0" fontId="45" fillId="25" borderId="18" xfId="0" applyFont="1" applyFill="1" applyBorder="1" applyAlignment="1">
      <alignment vertical="center"/>
    </xf>
    <xf numFmtId="174" fontId="43" fillId="0" borderId="11" xfId="33" applyNumberFormat="1" applyFont="1" applyFill="1" applyBorder="1" applyAlignment="1">
      <alignment horizontal="right" vertical="center"/>
    </xf>
    <xf numFmtId="174" fontId="43" fillId="25" borderId="11" xfId="33" applyNumberFormat="1" applyFont="1" applyFill="1" applyBorder="1" applyAlignment="1">
      <alignment horizontal="right" vertical="center"/>
    </xf>
    <xf numFmtId="43" fontId="29" fillId="25" borderId="11" xfId="74" applyFont="1" applyFill="1" applyBorder="1" applyAlignment="1">
      <alignment vertical="center" wrapText="1"/>
    </xf>
    <xf numFmtId="0" fontId="43" fillId="27" borderId="11" xfId="0" applyFont="1" applyFill="1" applyBorder="1"/>
    <xf numFmtId="44" fontId="45" fillId="27" borderId="11" xfId="33" applyFont="1" applyFill="1" applyBorder="1" applyAlignment="1"/>
    <xf numFmtId="174" fontId="36" fillId="25" borderId="0" xfId="0" applyNumberFormat="1" applyFont="1" applyFill="1"/>
    <xf numFmtId="43" fontId="51" fillId="26" borderId="11" xfId="74" applyFont="1" applyFill="1" applyBorder="1" applyAlignment="1">
      <alignment horizontal="center" vertical="center" wrapText="1"/>
    </xf>
    <xf numFmtId="43" fontId="64" fillId="0" borderId="0" xfId="74" applyFont="1" applyFill="1" applyBorder="1" applyAlignment="1">
      <alignment horizontal="center" vertical="center"/>
    </xf>
    <xf numFmtId="168" fontId="29" fillId="25" borderId="0" xfId="43" applyNumberFormat="1" applyFont="1" applyFill="1" applyAlignment="1">
      <alignment vertical="center"/>
    </xf>
    <xf numFmtId="43" fontId="51" fillId="25" borderId="0" xfId="74" applyFont="1" applyFill="1" applyBorder="1" applyAlignment="1">
      <alignment vertical="center"/>
    </xf>
    <xf numFmtId="7" fontId="51" fillId="25" borderId="0" xfId="74" applyNumberFormat="1" applyFont="1" applyFill="1" applyBorder="1" applyAlignment="1">
      <alignment vertical="center"/>
    </xf>
    <xf numFmtId="7" fontId="32" fillId="25" borderId="0" xfId="33" applyNumberFormat="1" applyFont="1" applyFill="1" applyBorder="1" applyAlignment="1">
      <alignment horizontal="center" vertical="center"/>
    </xf>
    <xf numFmtId="43" fontId="51" fillId="0" borderId="14" xfId="74" applyFont="1" applyBorder="1" applyAlignment="1">
      <alignment horizontal="center" vertical="center"/>
    </xf>
    <xf numFmtId="43" fontId="51" fillId="0" borderId="0" xfId="74" applyFont="1" applyBorder="1" applyAlignment="1">
      <alignment horizontal="center" vertical="center"/>
    </xf>
    <xf numFmtId="43" fontId="51" fillId="0" borderId="0" xfId="74" applyFont="1" applyFill="1" applyBorder="1" applyAlignment="1">
      <alignment horizontal="center" vertical="center"/>
    </xf>
    <xf numFmtId="0" fontId="51" fillId="25" borderId="11" xfId="0" applyFont="1" applyFill="1" applyBorder="1" applyAlignment="1">
      <alignment horizontal="center"/>
    </xf>
    <xf numFmtId="2" fontId="31" fillId="25" borderId="11" xfId="0" applyNumberFormat="1" applyFont="1" applyFill="1" applyBorder="1" applyAlignment="1">
      <alignment horizontal="center"/>
    </xf>
    <xf numFmtId="0" fontId="64" fillId="25" borderId="0" xfId="0" applyFont="1" applyFill="1"/>
    <xf numFmtId="0" fontId="51" fillId="25" borderId="11" xfId="0" applyFont="1" applyFill="1" applyBorder="1" applyAlignment="1">
      <alignment vertical="center"/>
    </xf>
    <xf numFmtId="0" fontId="51" fillId="25" borderId="11" xfId="0" applyFont="1" applyFill="1" applyBorder="1" applyAlignment="1">
      <alignment horizontal="center" vertical="center" wrapText="1"/>
    </xf>
    <xf numFmtId="7" fontId="31" fillId="25" borderId="11" xfId="0" applyNumberFormat="1" applyFont="1" applyFill="1" applyBorder="1"/>
    <xf numFmtId="174" fontId="79" fillId="25" borderId="33" xfId="0" applyNumberFormat="1" applyFont="1" applyFill="1" applyBorder="1"/>
    <xf numFmtId="0" fontId="76" fillId="25" borderId="12" xfId="0" applyFont="1" applyFill="1" applyBorder="1" applyAlignment="1">
      <alignment horizontal="center" vertical="center" wrapText="1"/>
    </xf>
    <xf numFmtId="0" fontId="76" fillId="25" borderId="18" xfId="0" applyFont="1" applyFill="1" applyBorder="1" applyAlignment="1">
      <alignment horizontal="center" vertical="center" wrapText="1"/>
    </xf>
    <xf numFmtId="0" fontId="76" fillId="25" borderId="13" xfId="0" applyFont="1" applyFill="1" applyBorder="1" applyAlignment="1">
      <alignment horizontal="center" vertical="center" wrapText="1"/>
    </xf>
    <xf numFmtId="0" fontId="45" fillId="25" borderId="11" xfId="0" applyFont="1" applyFill="1" applyBorder="1" applyAlignment="1">
      <alignment horizontal="center" vertical="center"/>
    </xf>
    <xf numFmtId="43" fontId="43" fillId="25" borderId="11" xfId="0" applyNumberFormat="1" applyFont="1" applyFill="1" applyBorder="1" applyAlignment="1">
      <alignment horizontal="left" vertical="center" wrapText="1"/>
    </xf>
    <xf numFmtId="0" fontId="43" fillId="25" borderId="11" xfId="0" applyFont="1" applyFill="1" applyBorder="1" applyAlignment="1">
      <alignment horizontal="left" vertical="center" wrapText="1"/>
    </xf>
    <xf numFmtId="0" fontId="43" fillId="25" borderId="12" xfId="0" applyFont="1" applyFill="1" applyBorder="1" applyAlignment="1">
      <alignment horizontal="left" vertical="center" wrapText="1"/>
    </xf>
    <xf numFmtId="0" fontId="43" fillId="25" borderId="18" xfId="0" applyFont="1" applyFill="1" applyBorder="1" applyAlignment="1">
      <alignment horizontal="left" vertical="center" wrapText="1"/>
    </xf>
    <xf numFmtId="0" fontId="43" fillId="25" borderId="13" xfId="0" applyFont="1" applyFill="1" applyBorder="1" applyAlignment="1">
      <alignment horizontal="left" vertical="center" wrapText="1"/>
    </xf>
    <xf numFmtId="174" fontId="45" fillId="25" borderId="18" xfId="0" applyNumberFormat="1" applyFont="1" applyFill="1" applyBorder="1" applyAlignment="1">
      <alignment horizontal="right" vertical="center"/>
    </xf>
    <xf numFmtId="174" fontId="45" fillId="25" borderId="13" xfId="0" applyNumberFormat="1" applyFont="1" applyFill="1" applyBorder="1" applyAlignment="1">
      <alignment horizontal="right" vertical="center"/>
    </xf>
    <xf numFmtId="43" fontId="43" fillId="25" borderId="12" xfId="0" applyNumberFormat="1" applyFont="1" applyFill="1" applyBorder="1" applyAlignment="1">
      <alignment horizontal="left" vertical="center" wrapText="1"/>
    </xf>
    <xf numFmtId="0" fontId="51" fillId="25" borderId="0" xfId="0" applyFont="1" applyFill="1" applyBorder="1" applyAlignment="1" applyProtection="1">
      <alignment horizontal="left"/>
    </xf>
    <xf numFmtId="0" fontId="43" fillId="25" borderId="12" xfId="0" applyFont="1" applyFill="1" applyBorder="1" applyAlignment="1">
      <alignment horizontal="justify" vertical="center" wrapText="1"/>
    </xf>
    <xf numFmtId="0" fontId="43" fillId="25" borderId="18" xfId="0" applyFont="1" applyFill="1" applyBorder="1" applyAlignment="1">
      <alignment horizontal="justify" vertical="center" wrapText="1"/>
    </xf>
    <xf numFmtId="0" fontId="43" fillId="25" borderId="13" xfId="0" applyFont="1" applyFill="1" applyBorder="1" applyAlignment="1">
      <alignment horizontal="justify" vertical="center" wrapText="1"/>
    </xf>
    <xf numFmtId="10" fontId="80" fillId="25" borderId="47" xfId="55" applyNumberFormat="1" applyFont="1" applyFill="1" applyBorder="1" applyAlignment="1">
      <alignment horizontal="center" vertical="center"/>
    </xf>
    <xf numFmtId="10" fontId="80" fillId="25" borderId="48" xfId="55" applyNumberFormat="1" applyFont="1" applyFill="1" applyBorder="1" applyAlignment="1">
      <alignment horizontal="center" vertical="center"/>
    </xf>
    <xf numFmtId="174" fontId="80" fillId="25" borderId="47" xfId="0" applyNumberFormat="1" applyFont="1" applyFill="1" applyBorder="1" applyAlignment="1">
      <alignment horizontal="center" vertical="center"/>
    </xf>
    <xf numFmtId="174" fontId="80" fillId="25" borderId="48" xfId="0" applyNumberFormat="1" applyFont="1" applyFill="1" applyBorder="1" applyAlignment="1">
      <alignment horizontal="center" vertical="center"/>
    </xf>
    <xf numFmtId="43" fontId="80" fillId="25" borderId="47" xfId="0" applyNumberFormat="1" applyFont="1" applyFill="1" applyBorder="1" applyAlignment="1">
      <alignment horizontal="left" vertical="top" wrapText="1"/>
    </xf>
    <xf numFmtId="43" fontId="80" fillId="25" borderId="48" xfId="0" applyNumberFormat="1" applyFont="1" applyFill="1" applyBorder="1" applyAlignment="1">
      <alignment horizontal="left" vertical="top" wrapText="1"/>
    </xf>
    <xf numFmtId="0" fontId="80" fillId="25" borderId="44" xfId="0" applyFont="1" applyFill="1" applyBorder="1" applyAlignment="1">
      <alignment horizontal="center" vertical="center"/>
    </xf>
    <xf numFmtId="0" fontId="80" fillId="25" borderId="45" xfId="0" applyFont="1" applyFill="1" applyBorder="1" applyAlignment="1">
      <alignment horizontal="center" vertical="center"/>
    </xf>
    <xf numFmtId="174" fontId="80" fillId="25" borderId="33" xfId="0" applyNumberFormat="1" applyFont="1" applyFill="1" applyBorder="1" applyAlignment="1">
      <alignment horizontal="center" vertical="center"/>
    </xf>
    <xf numFmtId="174" fontId="80" fillId="25" borderId="28" xfId="0" applyNumberFormat="1" applyFont="1" applyFill="1" applyBorder="1" applyAlignment="1">
      <alignment horizontal="center" vertical="center"/>
    </xf>
    <xf numFmtId="10" fontId="80" fillId="25" borderId="23" xfId="55" applyNumberFormat="1" applyFont="1" applyFill="1" applyBorder="1" applyAlignment="1">
      <alignment horizontal="center" vertical="center"/>
    </xf>
    <xf numFmtId="10" fontId="80" fillId="25" borderId="31" xfId="55" applyNumberFormat="1" applyFont="1" applyFill="1" applyBorder="1" applyAlignment="1">
      <alignment horizontal="center" vertical="center"/>
    </xf>
    <xf numFmtId="0" fontId="80" fillId="25" borderId="47" xfId="0" applyFont="1" applyFill="1" applyBorder="1" applyAlignment="1">
      <alignment horizontal="left" vertical="center" wrapText="1"/>
    </xf>
    <xf numFmtId="0" fontId="80" fillId="25" borderId="48" xfId="0" applyFont="1" applyFill="1" applyBorder="1" applyAlignment="1">
      <alignment horizontal="left" vertical="center" wrapText="1"/>
    </xf>
    <xf numFmtId="10" fontId="80" fillId="25" borderId="33" xfId="55" applyNumberFormat="1" applyFont="1" applyFill="1" applyBorder="1" applyAlignment="1">
      <alignment horizontal="center" vertical="center"/>
    </xf>
    <xf numFmtId="10" fontId="80" fillId="25" borderId="28" xfId="55" applyNumberFormat="1" applyFont="1" applyFill="1" applyBorder="1" applyAlignment="1">
      <alignment horizontal="center" vertical="center"/>
    </xf>
    <xf numFmtId="43" fontId="46" fillId="36" borderId="41" xfId="74" applyFont="1" applyFill="1" applyBorder="1" applyAlignment="1">
      <alignment horizontal="center" vertical="center" wrapText="1"/>
    </xf>
    <xf numFmtId="43" fontId="46" fillId="36" borderId="42" xfId="74" applyFont="1" applyFill="1" applyBorder="1" applyAlignment="1">
      <alignment horizontal="center" vertical="center" wrapText="1"/>
    </xf>
    <xf numFmtId="0" fontId="83" fillId="25" borderId="25" xfId="0" applyFont="1" applyFill="1" applyBorder="1" applyAlignment="1">
      <alignment horizontal="center" vertical="center"/>
    </xf>
    <xf numFmtId="0" fontId="83" fillId="25" borderId="11" xfId="0" applyFont="1" applyFill="1" applyBorder="1" applyAlignment="1">
      <alignment horizontal="center" vertical="center"/>
    </xf>
    <xf numFmtId="0" fontId="79" fillId="25" borderId="43" xfId="0" applyFont="1" applyFill="1" applyBorder="1" applyAlignment="1">
      <alignment horizontal="center"/>
    </xf>
    <xf numFmtId="0" fontId="79" fillId="25" borderId="33" xfId="0" applyFont="1" applyFill="1" applyBorder="1" applyAlignment="1">
      <alignment horizontal="center"/>
    </xf>
    <xf numFmtId="0" fontId="79" fillId="25" borderId="25" xfId="0" applyFont="1" applyFill="1" applyBorder="1" applyAlignment="1">
      <alignment horizontal="center"/>
    </xf>
    <xf numFmtId="0" fontId="79" fillId="25" borderId="11" xfId="0" applyFont="1" applyFill="1" applyBorder="1" applyAlignment="1">
      <alignment horizontal="center"/>
    </xf>
    <xf numFmtId="0" fontId="79" fillId="25" borderId="27" xfId="0" applyFont="1" applyFill="1" applyBorder="1" applyAlignment="1">
      <alignment horizontal="center"/>
    </xf>
    <xf numFmtId="0" fontId="79" fillId="25" borderId="28" xfId="0" applyFont="1" applyFill="1" applyBorder="1" applyAlignment="1">
      <alignment horizontal="center"/>
    </xf>
    <xf numFmtId="14" fontId="78" fillId="25" borderId="12" xfId="0" applyNumberFormat="1" applyFont="1" applyFill="1" applyBorder="1" applyAlignment="1">
      <alignment horizontal="center"/>
    </xf>
    <xf numFmtId="14" fontId="78" fillId="25" borderId="18" xfId="0" applyNumberFormat="1" applyFont="1" applyFill="1" applyBorder="1" applyAlignment="1">
      <alignment horizontal="center"/>
    </xf>
    <xf numFmtId="0" fontId="80" fillId="25" borderId="43" xfId="0" applyFont="1" applyFill="1" applyBorder="1" applyAlignment="1">
      <alignment horizontal="center" vertical="center"/>
    </xf>
    <xf numFmtId="0" fontId="80" fillId="25" borderId="27" xfId="0" applyFont="1" applyFill="1" applyBorder="1" applyAlignment="1">
      <alignment horizontal="center" vertical="center"/>
    </xf>
    <xf numFmtId="43" fontId="80" fillId="25" borderId="33" xfId="0" applyNumberFormat="1" applyFont="1" applyFill="1" applyBorder="1" applyAlignment="1">
      <alignment horizontal="left" vertical="top" wrapText="1"/>
    </xf>
    <xf numFmtId="0" fontId="80" fillId="25" borderId="28" xfId="0" applyFont="1" applyFill="1" applyBorder="1" applyAlignment="1">
      <alignment horizontal="left" vertical="top" wrapText="1"/>
    </xf>
    <xf numFmtId="43" fontId="80" fillId="25" borderId="33" xfId="0" applyNumberFormat="1" applyFont="1" applyFill="1" applyBorder="1" applyAlignment="1">
      <alignment horizontal="justify" vertical="center" wrapText="1"/>
    </xf>
    <xf numFmtId="0" fontId="80" fillId="25" borderId="28" xfId="0" applyFont="1" applyFill="1" applyBorder="1" applyAlignment="1">
      <alignment horizontal="justify" vertical="center" wrapText="1"/>
    </xf>
    <xf numFmtId="0" fontId="80" fillId="25" borderId="22" xfId="0" applyFont="1" applyFill="1" applyBorder="1" applyAlignment="1">
      <alignment horizontal="center" vertical="center"/>
    </xf>
    <xf numFmtId="0" fontId="80" fillId="25" borderId="46" xfId="0" applyFont="1" applyFill="1" applyBorder="1" applyAlignment="1">
      <alignment horizontal="center" vertical="center"/>
    </xf>
    <xf numFmtId="0" fontId="80" fillId="25" borderId="5" xfId="0" applyFont="1" applyFill="1" applyBorder="1" applyAlignment="1">
      <alignment horizontal="left" vertical="top" wrapText="1"/>
    </xf>
    <xf numFmtId="0" fontId="80" fillId="25" borderId="40" xfId="0" applyFont="1" applyFill="1" applyBorder="1" applyAlignment="1">
      <alignment horizontal="left" vertical="top" wrapText="1"/>
    </xf>
    <xf numFmtId="0" fontId="83" fillId="25" borderId="25" xfId="0" applyFont="1" applyFill="1" applyBorder="1" applyAlignment="1"/>
    <xf numFmtId="0" fontId="83" fillId="25" borderId="11" xfId="0" applyFont="1" applyFill="1" applyBorder="1" applyAlignment="1"/>
    <xf numFmtId="0" fontId="80" fillId="25" borderId="17" xfId="0" applyFont="1" applyFill="1" applyBorder="1" applyAlignment="1">
      <alignment horizontal="left" vertical="top" wrapText="1"/>
    </xf>
    <xf numFmtId="0" fontId="80" fillId="25" borderId="19" xfId="0" applyFont="1" applyFill="1" applyBorder="1" applyAlignment="1">
      <alignment horizontal="left" vertical="top" wrapText="1"/>
    </xf>
    <xf numFmtId="0" fontId="80" fillId="25" borderId="16" xfId="0" applyFont="1" applyFill="1" applyBorder="1" applyAlignment="1">
      <alignment horizontal="left" vertical="top" wrapText="1"/>
    </xf>
    <xf numFmtId="0" fontId="80" fillId="25" borderId="15" xfId="0" applyFont="1" applyFill="1" applyBorder="1" applyAlignment="1">
      <alignment horizontal="left" vertical="top" wrapText="1"/>
    </xf>
    <xf numFmtId="43" fontId="45" fillId="31" borderId="12" xfId="74" applyFont="1" applyFill="1" applyBorder="1" applyAlignment="1">
      <alignment horizontal="center" vertical="center" wrapText="1"/>
    </xf>
    <xf numFmtId="43" fontId="45" fillId="31" borderId="18" xfId="74" applyFont="1" applyFill="1" applyBorder="1" applyAlignment="1">
      <alignment horizontal="center" vertical="center" wrapText="1"/>
    </xf>
    <xf numFmtId="43" fontId="45" fillId="31" borderId="13" xfId="74" applyFont="1" applyFill="1" applyBorder="1" applyAlignment="1">
      <alignment horizontal="center" vertical="center" wrapText="1"/>
    </xf>
    <xf numFmtId="174" fontId="34" fillId="31" borderId="12" xfId="74" applyNumberFormat="1" applyFont="1" applyFill="1" applyBorder="1" applyAlignment="1">
      <alignment horizontal="right" vertical="center"/>
    </xf>
    <xf numFmtId="174" fontId="34" fillId="31" borderId="18" xfId="74" applyNumberFormat="1" applyFont="1" applyFill="1" applyBorder="1" applyAlignment="1">
      <alignment horizontal="right" vertical="center"/>
    </xf>
    <xf numFmtId="174" fontId="34" fillId="31" borderId="13" xfId="74" applyNumberFormat="1" applyFont="1" applyFill="1" applyBorder="1" applyAlignment="1">
      <alignment horizontal="right" vertical="center"/>
    </xf>
    <xf numFmtId="10" fontId="34" fillId="31" borderId="11" xfId="55" applyNumberFormat="1" applyFont="1" applyFill="1" applyBorder="1" applyAlignment="1">
      <alignment horizontal="center" vertical="center" wrapText="1"/>
    </xf>
    <xf numFmtId="43" fontId="43" fillId="25" borderId="12" xfId="74" applyFont="1" applyFill="1" applyBorder="1" applyAlignment="1">
      <alignment horizontal="left" vertical="center" wrapText="1"/>
    </xf>
    <xf numFmtId="43" fontId="43" fillId="25" borderId="18" xfId="74" applyFont="1" applyFill="1" applyBorder="1" applyAlignment="1">
      <alignment horizontal="left" vertical="center" wrapText="1"/>
    </xf>
    <xf numFmtId="43" fontId="43" fillId="25" borderId="13" xfId="74" applyFont="1" applyFill="1" applyBorder="1" applyAlignment="1">
      <alignment horizontal="left" vertical="center" wrapText="1"/>
    </xf>
    <xf numFmtId="7" fontId="36" fillId="25" borderId="12" xfId="74" applyNumberFormat="1" applyFont="1" applyFill="1" applyBorder="1" applyAlignment="1">
      <alignment horizontal="right" vertical="center"/>
    </xf>
    <xf numFmtId="7" fontId="36" fillId="25" borderId="18" xfId="74" applyNumberFormat="1" applyFont="1" applyFill="1" applyBorder="1" applyAlignment="1">
      <alignment horizontal="right" vertical="center"/>
    </xf>
    <xf numFmtId="7" fontId="36" fillId="25" borderId="13" xfId="74" applyNumberFormat="1" applyFont="1" applyFill="1" applyBorder="1" applyAlignment="1">
      <alignment horizontal="right" vertical="center"/>
    </xf>
    <xf numFmtId="43" fontId="36" fillId="25" borderId="11" xfId="74" applyFont="1" applyFill="1" applyBorder="1" applyAlignment="1">
      <alignment horizontal="center" vertical="center" wrapText="1"/>
    </xf>
    <xf numFmtId="43" fontId="37" fillId="25" borderId="0" xfId="74" applyFont="1" applyFill="1" applyAlignment="1">
      <alignment horizontal="left" vertical="center"/>
    </xf>
    <xf numFmtId="43" fontId="38" fillId="35" borderId="0" xfId="74" applyFont="1" applyFill="1" applyAlignment="1">
      <alignment horizontal="left" vertical="center" wrapText="1"/>
    </xf>
    <xf numFmtId="43" fontId="37" fillId="35" borderId="0" xfId="74" applyFont="1" applyFill="1" applyAlignment="1">
      <alignment horizontal="center" vertical="center"/>
    </xf>
    <xf numFmtId="43" fontId="45" fillId="25" borderId="12" xfId="74" applyFont="1" applyFill="1" applyBorder="1" applyAlignment="1">
      <alignment horizontal="center" vertical="center" wrapText="1"/>
    </xf>
    <xf numFmtId="43" fontId="45" fillId="25" borderId="18" xfId="74" applyFont="1" applyFill="1" applyBorder="1" applyAlignment="1">
      <alignment horizontal="center" vertical="center" wrapText="1"/>
    </xf>
    <xf numFmtId="43" fontId="45" fillId="25" borderId="13" xfId="74" applyFont="1" applyFill="1" applyBorder="1" applyAlignment="1">
      <alignment horizontal="center" vertical="center" wrapText="1"/>
    </xf>
    <xf numFmtId="43" fontId="34" fillId="25" borderId="12" xfId="74" applyFont="1" applyFill="1" applyBorder="1" applyAlignment="1">
      <alignment horizontal="center" vertical="center"/>
    </xf>
    <xf numFmtId="43" fontId="34" fillId="25" borderId="18" xfId="74" applyFont="1" applyFill="1" applyBorder="1" applyAlignment="1">
      <alignment horizontal="center" vertical="center"/>
    </xf>
    <xf numFmtId="43" fontId="34" fillId="25" borderId="13" xfId="74" applyFont="1" applyFill="1" applyBorder="1" applyAlignment="1">
      <alignment horizontal="center" vertical="center"/>
    </xf>
    <xf numFmtId="43" fontId="34" fillId="25" borderId="11" xfId="74" applyFont="1" applyFill="1" applyBorder="1" applyAlignment="1">
      <alignment horizontal="center" vertical="center" wrapText="1"/>
    </xf>
    <xf numFmtId="43" fontId="46" fillId="34" borderId="18" xfId="74" applyFont="1" applyFill="1" applyBorder="1" applyAlignment="1">
      <alignment horizontal="center" vertical="center"/>
    </xf>
    <xf numFmtId="43" fontId="46" fillId="34" borderId="13" xfId="74" applyFont="1" applyFill="1" applyBorder="1" applyAlignment="1">
      <alignment horizontal="center" vertical="center"/>
    </xf>
    <xf numFmtId="7" fontId="41" fillId="34" borderId="12" xfId="74" applyNumberFormat="1" applyFont="1" applyFill="1" applyBorder="1" applyAlignment="1">
      <alignment horizontal="right" vertical="center"/>
    </xf>
    <xf numFmtId="7" fontId="41" fillId="34" borderId="18" xfId="74" applyNumberFormat="1" applyFont="1" applyFill="1" applyBorder="1" applyAlignment="1">
      <alignment horizontal="right" vertical="center"/>
    </xf>
    <xf numFmtId="7" fontId="41" fillId="34" borderId="13" xfId="74" applyNumberFormat="1" applyFont="1" applyFill="1" applyBorder="1" applyAlignment="1">
      <alignment horizontal="right" vertical="center"/>
    </xf>
    <xf numFmtId="9" fontId="34" fillId="34" borderId="18" xfId="55" applyFont="1" applyFill="1" applyBorder="1" applyAlignment="1">
      <alignment horizontal="center" vertical="center" wrapText="1"/>
    </xf>
    <xf numFmtId="43" fontId="45" fillId="25" borderId="12" xfId="74" applyFont="1" applyFill="1" applyBorder="1" applyAlignment="1">
      <alignment horizontal="center" vertical="center"/>
    </xf>
    <xf numFmtId="43" fontId="45" fillId="25" borderId="18" xfId="74" applyFont="1" applyFill="1" applyBorder="1" applyAlignment="1">
      <alignment horizontal="center" vertical="center"/>
    </xf>
    <xf numFmtId="43" fontId="45" fillId="25" borderId="13" xfId="74" applyFont="1" applyFill="1" applyBorder="1" applyAlignment="1">
      <alignment horizontal="center" vertical="center"/>
    </xf>
    <xf numFmtId="43" fontId="34" fillId="25" borderId="12" xfId="74" applyFont="1" applyFill="1" applyBorder="1" applyAlignment="1">
      <alignment horizontal="center" vertical="center" wrapText="1"/>
    </xf>
    <xf numFmtId="43" fontId="34" fillId="25" borderId="13" xfId="74" applyFont="1" applyFill="1" applyBorder="1" applyAlignment="1">
      <alignment horizontal="center" vertical="center" wrapText="1"/>
    </xf>
    <xf numFmtId="2" fontId="36" fillId="25" borderId="12" xfId="74" applyNumberFormat="1" applyFont="1" applyFill="1" applyBorder="1" applyAlignment="1">
      <alignment horizontal="right" vertical="center" wrapText="1"/>
    </xf>
    <xf numFmtId="2" fontId="36" fillId="25" borderId="13" xfId="74" applyNumberFormat="1" applyFont="1" applyFill="1" applyBorder="1" applyAlignment="1">
      <alignment horizontal="right" vertical="center" wrapText="1"/>
    </xf>
    <xf numFmtId="43" fontId="45" fillId="31" borderId="12" xfId="74" applyFont="1" applyFill="1" applyBorder="1" applyAlignment="1">
      <alignment horizontal="left" vertical="center" wrapText="1"/>
    </xf>
    <xf numFmtId="43" fontId="45" fillId="31" borderId="18" xfId="74" applyFont="1" applyFill="1" applyBorder="1" applyAlignment="1">
      <alignment horizontal="left" vertical="center" wrapText="1"/>
    </xf>
    <xf numFmtId="43" fontId="45" fillId="31" borderId="13" xfId="74" applyFont="1" applyFill="1" applyBorder="1" applyAlignment="1">
      <alignment horizontal="left" vertical="center" wrapText="1"/>
    </xf>
    <xf numFmtId="49" fontId="2" fillId="25" borderId="11" xfId="43" applyNumberFormat="1" applyFont="1" applyFill="1" applyBorder="1" applyAlignment="1">
      <alignment horizontal="left" vertical="center"/>
    </xf>
    <xf numFmtId="43" fontId="56" fillId="25" borderId="11" xfId="74" applyFont="1" applyFill="1" applyBorder="1" applyAlignment="1">
      <alignment horizontal="center" vertical="center"/>
    </xf>
    <xf numFmtId="7" fontId="56" fillId="25" borderId="11" xfId="74" applyNumberFormat="1" applyFont="1" applyFill="1" applyBorder="1" applyAlignment="1">
      <alignment horizontal="center" vertical="center"/>
    </xf>
    <xf numFmtId="43" fontId="56" fillId="25" borderId="11" xfId="74" applyFont="1" applyFill="1" applyBorder="1" applyAlignment="1">
      <alignment horizontal="center" vertical="center" wrapText="1"/>
    </xf>
    <xf numFmtId="43" fontId="37" fillId="35" borderId="11" xfId="74" applyFont="1" applyFill="1" applyBorder="1" applyAlignment="1">
      <alignment horizontal="center" vertical="center"/>
    </xf>
    <xf numFmtId="49" fontId="39" fillId="25" borderId="11" xfId="43" applyNumberFormat="1" applyFont="1" applyFill="1" applyBorder="1" applyAlignment="1">
      <alignment horizontal="center" vertical="center"/>
    </xf>
    <xf numFmtId="43" fontId="57" fillId="25" borderId="11" xfId="74" applyFont="1" applyFill="1" applyBorder="1" applyAlignment="1">
      <alignment horizontal="center" vertical="center"/>
    </xf>
    <xf numFmtId="49" fontId="2" fillId="25" borderId="12" xfId="43" applyNumberFormat="1" applyFont="1" applyFill="1" applyBorder="1" applyAlignment="1">
      <alignment horizontal="right" vertical="center"/>
    </xf>
    <xf numFmtId="49" fontId="2" fillId="25" borderId="18" xfId="43" applyNumberFormat="1" applyFont="1" applyFill="1" applyBorder="1" applyAlignment="1">
      <alignment horizontal="right" vertical="center"/>
    </xf>
    <xf numFmtId="49" fontId="2" fillId="25" borderId="13" xfId="43" applyNumberFormat="1" applyFont="1" applyFill="1" applyBorder="1" applyAlignment="1">
      <alignment horizontal="right" vertical="center"/>
    </xf>
    <xf numFmtId="2" fontId="56" fillId="25" borderId="11" xfId="74" applyNumberFormat="1" applyFont="1" applyFill="1" applyBorder="1" applyAlignment="1">
      <alignment horizontal="center" vertical="center"/>
    </xf>
    <xf numFmtId="7" fontId="57" fillId="25" borderId="11" xfId="74" applyNumberFormat="1" applyFont="1" applyFill="1" applyBorder="1" applyAlignment="1">
      <alignment horizontal="center" vertical="center"/>
    </xf>
    <xf numFmtId="49" fontId="39" fillId="25" borderId="12" xfId="43" applyNumberFormat="1" applyFont="1" applyFill="1" applyBorder="1" applyAlignment="1">
      <alignment horizontal="center" vertical="center"/>
    </xf>
    <xf numFmtId="49" fontId="39" fillId="25" borderId="18" xfId="43" applyNumberFormat="1" applyFont="1" applyFill="1" applyBorder="1" applyAlignment="1">
      <alignment horizontal="center" vertical="center"/>
    </xf>
    <xf numFmtId="49" fontId="39" fillId="25" borderId="13" xfId="43" applyNumberFormat="1" applyFont="1" applyFill="1" applyBorder="1" applyAlignment="1">
      <alignment horizontal="center" vertical="center"/>
    </xf>
    <xf numFmtId="10" fontId="56" fillId="25" borderId="11" xfId="74" applyNumberFormat="1" applyFont="1" applyFill="1" applyBorder="1" applyAlignment="1">
      <alignment horizontal="right" vertical="center"/>
    </xf>
    <xf numFmtId="43" fontId="57" fillId="25" borderId="11" xfId="74" applyFont="1" applyFill="1" applyBorder="1" applyAlignment="1">
      <alignment horizontal="center" vertical="center" wrapText="1"/>
    </xf>
    <xf numFmtId="39" fontId="31" fillId="0" borderId="12" xfId="74" applyNumberFormat="1" applyFont="1" applyFill="1" applyBorder="1" applyAlignment="1">
      <alignment horizontal="center" vertical="center"/>
    </xf>
    <xf numFmtId="39" fontId="31" fillId="0" borderId="13" xfId="74" applyNumberFormat="1" applyFont="1" applyFill="1" applyBorder="1" applyAlignment="1">
      <alignment horizontal="center" vertical="center"/>
    </xf>
    <xf numFmtId="7" fontId="36" fillId="25" borderId="11" xfId="33" applyNumberFormat="1" applyFont="1" applyFill="1" applyBorder="1" applyAlignment="1">
      <alignment horizontal="center" vertical="center"/>
    </xf>
    <xf numFmtId="49" fontId="36" fillId="25" borderId="11" xfId="0" applyNumberFormat="1" applyFont="1" applyFill="1" applyBorder="1" applyAlignment="1">
      <alignment horizontal="left"/>
    </xf>
    <xf numFmtId="0" fontId="36" fillId="25" borderId="11" xfId="0" applyFont="1" applyFill="1" applyBorder="1" applyAlignment="1">
      <alignment horizontal="left"/>
    </xf>
    <xf numFmtId="7" fontId="36" fillId="25" borderId="11" xfId="0" applyNumberFormat="1" applyFont="1" applyFill="1" applyBorder="1" applyAlignment="1">
      <alignment horizontal="right"/>
    </xf>
    <xf numFmtId="0" fontId="43" fillId="25" borderId="11" xfId="42" applyFont="1" applyFill="1" applyBorder="1" applyAlignment="1">
      <alignment horizontal="left"/>
    </xf>
    <xf numFmtId="43" fontId="46" fillId="32" borderId="11" xfId="0" applyNumberFormat="1" applyFont="1" applyFill="1" applyBorder="1" applyAlignment="1">
      <alignment horizontal="left"/>
    </xf>
    <xf numFmtId="7" fontId="46" fillId="32" borderId="11" xfId="0" applyNumberFormat="1" applyFont="1" applyFill="1" applyBorder="1" applyAlignment="1">
      <alignment horizontal="center"/>
    </xf>
    <xf numFmtId="44" fontId="46" fillId="32" borderId="11" xfId="0" applyNumberFormat="1" applyFont="1" applyFill="1" applyBorder="1" applyAlignment="1">
      <alignment horizontal="center"/>
    </xf>
    <xf numFmtId="9" fontId="56" fillId="25" borderId="11" xfId="74" applyNumberFormat="1" applyFont="1" applyFill="1" applyBorder="1" applyAlignment="1">
      <alignment horizontal="right" vertical="center"/>
    </xf>
    <xf numFmtId="43" fontId="56" fillId="25" borderId="11" xfId="74" applyFont="1" applyFill="1" applyBorder="1" applyAlignment="1">
      <alignment horizontal="right" vertical="center"/>
    </xf>
    <xf numFmtId="43" fontId="48" fillId="27" borderId="12" xfId="74" applyFont="1" applyFill="1" applyBorder="1" applyAlignment="1">
      <alignment horizontal="left" vertical="center"/>
    </xf>
    <xf numFmtId="43" fontId="48" fillId="27" borderId="18" xfId="74" applyFont="1" applyFill="1" applyBorder="1" applyAlignment="1">
      <alignment horizontal="left" vertical="center"/>
    </xf>
    <xf numFmtId="43" fontId="48" fillId="27" borderId="13" xfId="74" applyFont="1" applyFill="1" applyBorder="1" applyAlignment="1">
      <alignment horizontal="left" vertical="center"/>
    </xf>
    <xf numFmtId="174" fontId="48" fillId="27" borderId="12" xfId="33" applyNumberFormat="1" applyFont="1" applyFill="1" applyBorder="1" applyAlignment="1">
      <alignment horizontal="center" vertical="center"/>
    </xf>
    <xf numFmtId="174" fontId="48" fillId="27" borderId="13" xfId="33" applyNumberFormat="1" applyFont="1" applyFill="1" applyBorder="1" applyAlignment="1">
      <alignment horizontal="center" vertical="center"/>
    </xf>
    <xf numFmtId="43" fontId="50" fillId="27" borderId="12" xfId="74" applyFont="1" applyFill="1" applyBorder="1" applyAlignment="1">
      <alignment horizontal="center" vertical="center"/>
    </xf>
    <xf numFmtId="43" fontId="50" fillId="27" borderId="18" xfId="74" applyFont="1" applyFill="1" applyBorder="1" applyAlignment="1">
      <alignment horizontal="center" vertical="center"/>
    </xf>
    <xf numFmtId="43" fontId="50" fillId="27" borderId="13" xfId="74" applyFont="1" applyFill="1" applyBorder="1" applyAlignment="1">
      <alignment horizontal="center" vertical="center"/>
    </xf>
    <xf numFmtId="43" fontId="50" fillId="27" borderId="11" xfId="74" applyFont="1" applyFill="1" applyBorder="1" applyAlignment="1">
      <alignment horizontal="center" vertical="center"/>
    </xf>
    <xf numFmtId="39" fontId="31" fillId="0" borderId="11" xfId="74" applyNumberFormat="1" applyFont="1" applyFill="1" applyBorder="1" applyAlignment="1">
      <alignment horizontal="center" vertical="center"/>
    </xf>
    <xf numFmtId="7" fontId="34" fillId="25" borderId="11" xfId="33" applyNumberFormat="1" applyFont="1" applyFill="1" applyBorder="1" applyAlignment="1">
      <alignment horizontal="center" vertical="center"/>
    </xf>
    <xf numFmtId="43" fontId="31" fillId="0" borderId="12" xfId="74" applyFont="1" applyBorder="1" applyAlignment="1">
      <alignment horizontal="left" vertical="center"/>
    </xf>
    <xf numFmtId="43" fontId="31" fillId="0" borderId="18" xfId="74" applyFont="1" applyBorder="1" applyAlignment="1">
      <alignment horizontal="left" vertical="center"/>
    </xf>
    <xf numFmtId="43" fontId="31" fillId="0" borderId="13" xfId="74" applyFont="1" applyBorder="1" applyAlignment="1">
      <alignment horizontal="left" vertical="center"/>
    </xf>
    <xf numFmtId="43" fontId="34" fillId="26" borderId="11" xfId="74" applyFont="1" applyFill="1" applyBorder="1" applyAlignment="1">
      <alignment horizontal="center" vertical="center" wrapText="1"/>
    </xf>
    <xf numFmtId="43" fontId="36" fillId="25" borderId="11" xfId="74" applyFont="1" applyFill="1" applyBorder="1" applyAlignment="1">
      <alignment horizontal="center" vertical="center"/>
    </xf>
    <xf numFmtId="43" fontId="34" fillId="26" borderId="11" xfId="74" applyFont="1" applyFill="1" applyBorder="1" applyAlignment="1">
      <alignment horizontal="center" vertical="center"/>
    </xf>
    <xf numFmtId="7" fontId="31" fillId="25" borderId="11" xfId="0" applyNumberFormat="1" applyFont="1" applyFill="1" applyBorder="1" applyAlignment="1">
      <alignment horizontal="center"/>
    </xf>
    <xf numFmtId="0" fontId="51" fillId="25" borderId="11" xfId="0" applyFont="1" applyFill="1" applyBorder="1" applyAlignment="1">
      <alignment horizontal="center"/>
    </xf>
    <xf numFmtId="0" fontId="31" fillId="25" borderId="11" xfId="0" applyFont="1" applyFill="1" applyBorder="1" applyAlignment="1">
      <alignment horizontal="left"/>
    </xf>
    <xf numFmtId="43" fontId="34" fillId="0" borderId="11" xfId="74" applyFont="1" applyBorder="1" applyAlignment="1">
      <alignment horizontal="center" vertical="center"/>
    </xf>
    <xf numFmtId="0" fontId="34" fillId="33" borderId="0" xfId="0" applyFont="1" applyFill="1" applyBorder="1" applyAlignment="1">
      <alignment horizontal="center"/>
    </xf>
    <xf numFmtId="0" fontId="41" fillId="25" borderId="27" xfId="0" applyFont="1" applyFill="1" applyBorder="1" applyAlignment="1">
      <alignment horizontal="left" vertical="center"/>
    </xf>
    <xf numFmtId="0" fontId="41" fillId="25" borderId="28" xfId="0" applyFont="1" applyFill="1" applyBorder="1" applyAlignment="1">
      <alignment horizontal="left" vertical="center"/>
    </xf>
    <xf numFmtId="7" fontId="41" fillId="25" borderId="28" xfId="0" applyNumberFormat="1" applyFont="1" applyFill="1" applyBorder="1" applyAlignment="1">
      <alignment horizontal="center" vertical="center"/>
    </xf>
    <xf numFmtId="7" fontId="41" fillId="25" borderId="29" xfId="0" applyNumberFormat="1" applyFont="1" applyFill="1" applyBorder="1" applyAlignment="1">
      <alignment horizontal="center" vertical="center"/>
    </xf>
    <xf numFmtId="0" fontId="41" fillId="25" borderId="43" xfId="0" applyFont="1" applyFill="1" applyBorder="1" applyAlignment="1">
      <alignment horizontal="left"/>
    </xf>
    <xf numFmtId="0" fontId="41" fillId="25" borderId="33" xfId="0" applyFont="1" applyFill="1" applyBorder="1" applyAlignment="1">
      <alignment horizontal="left"/>
    </xf>
    <xf numFmtId="7" fontId="41" fillId="25" borderId="33" xfId="0" applyNumberFormat="1" applyFont="1" applyFill="1" applyBorder="1" applyAlignment="1">
      <alignment horizontal="center"/>
    </xf>
    <xf numFmtId="7" fontId="41" fillId="25" borderId="38" xfId="0" applyNumberFormat="1" applyFont="1" applyFill="1" applyBorder="1" applyAlignment="1">
      <alignment horizontal="center"/>
    </xf>
    <xf numFmtId="0" fontId="41" fillId="25" borderId="25" xfId="0" applyFont="1" applyFill="1" applyBorder="1" applyAlignment="1">
      <alignment horizontal="left"/>
    </xf>
    <xf numFmtId="0" fontId="41" fillId="25" borderId="11" xfId="0" applyFont="1" applyFill="1" applyBorder="1" applyAlignment="1">
      <alignment horizontal="left"/>
    </xf>
    <xf numFmtId="10" fontId="41" fillId="25" borderId="11" xfId="0" applyNumberFormat="1" applyFont="1" applyFill="1" applyBorder="1" applyAlignment="1">
      <alignment horizontal="center"/>
    </xf>
    <xf numFmtId="7" fontId="41" fillId="25" borderId="11" xfId="0" applyNumberFormat="1" applyFont="1" applyFill="1" applyBorder="1" applyAlignment="1">
      <alignment horizontal="center"/>
    </xf>
    <xf numFmtId="7" fontId="41" fillId="25" borderId="26" xfId="0" applyNumberFormat="1" applyFont="1" applyFill="1" applyBorder="1" applyAlignment="1">
      <alignment horizontal="center"/>
    </xf>
    <xf numFmtId="0" fontId="41" fillId="25" borderId="36" xfId="0" applyFont="1" applyFill="1" applyBorder="1" applyAlignment="1">
      <alignment horizontal="left"/>
    </xf>
    <xf numFmtId="0" fontId="41" fillId="25" borderId="18" xfId="0" applyFont="1" applyFill="1" applyBorder="1" applyAlignment="1">
      <alignment horizontal="left"/>
    </xf>
    <xf numFmtId="0" fontId="41" fillId="25" borderId="13" xfId="0" applyFont="1" applyFill="1" applyBorder="1" applyAlignment="1">
      <alignment horizontal="left"/>
    </xf>
    <xf numFmtId="194" fontId="41" fillId="25" borderId="11" xfId="0" applyNumberFormat="1" applyFont="1" applyFill="1" applyBorder="1" applyAlignment="1">
      <alignment horizontal="center"/>
    </xf>
    <xf numFmtId="194" fontId="41" fillId="25" borderId="26" xfId="0" applyNumberFormat="1" applyFont="1" applyFill="1" applyBorder="1" applyAlignment="1">
      <alignment horizontal="center"/>
    </xf>
    <xf numFmtId="0" fontId="51" fillId="25" borderId="11" xfId="0" applyFont="1" applyFill="1" applyBorder="1" applyAlignment="1">
      <alignment horizontal="center" vertical="center" wrapText="1"/>
    </xf>
    <xf numFmtId="7" fontId="51" fillId="25" borderId="11" xfId="0" applyNumberFormat="1" applyFont="1" applyFill="1" applyBorder="1" applyAlignment="1">
      <alignment horizontal="center"/>
    </xf>
    <xf numFmtId="10" fontId="48" fillId="27" borderId="12" xfId="55" applyNumberFormat="1" applyFont="1" applyFill="1" applyBorder="1" applyAlignment="1">
      <alignment horizontal="center" vertical="center"/>
    </xf>
    <xf numFmtId="10" fontId="48" fillId="27" borderId="13" xfId="55" applyNumberFormat="1" applyFont="1" applyFill="1" applyBorder="1" applyAlignment="1">
      <alignment horizontal="center" vertical="center"/>
    </xf>
    <xf numFmtId="43" fontId="34" fillId="36" borderId="11" xfId="74" applyFont="1" applyFill="1" applyBorder="1" applyAlignment="1">
      <alignment horizontal="center" vertical="center"/>
    </xf>
    <xf numFmtId="7" fontId="33" fillId="25" borderId="11" xfId="33" applyNumberFormat="1" applyFont="1" applyFill="1" applyBorder="1" applyAlignment="1">
      <alignment horizontal="center" vertical="center"/>
    </xf>
    <xf numFmtId="7" fontId="42" fillId="25" borderId="11" xfId="33" applyNumberFormat="1" applyFont="1" applyFill="1" applyBorder="1" applyAlignment="1">
      <alignment horizontal="center" vertical="center"/>
    </xf>
    <xf numFmtId="43" fontId="36" fillId="25" borderId="17" xfId="74" applyFont="1" applyFill="1" applyBorder="1" applyAlignment="1">
      <alignment horizontal="center" vertical="center"/>
    </xf>
    <xf numFmtId="43" fontId="36" fillId="25" borderId="19" xfId="74" applyFont="1" applyFill="1" applyBorder="1" applyAlignment="1">
      <alignment horizontal="center" vertical="center"/>
    </xf>
    <xf numFmtId="43" fontId="36" fillId="25" borderId="20" xfId="74" applyFont="1" applyFill="1" applyBorder="1" applyAlignment="1">
      <alignment horizontal="center" vertical="center"/>
    </xf>
    <xf numFmtId="43" fontId="51" fillId="26" borderId="11" xfId="74" applyFont="1" applyFill="1" applyBorder="1" applyAlignment="1">
      <alignment horizontal="center" vertical="center"/>
    </xf>
    <xf numFmtId="43" fontId="31" fillId="0" borderId="11" xfId="74" applyFont="1" applyBorder="1" applyAlignment="1">
      <alignment horizontal="left" vertical="center"/>
    </xf>
    <xf numFmtId="9" fontId="56" fillId="25" borderId="13" xfId="74" applyNumberFormat="1" applyFont="1" applyFill="1" applyBorder="1" applyAlignment="1">
      <alignment horizontal="right" vertical="center"/>
    </xf>
    <xf numFmtId="13" fontId="31" fillId="25" borderId="11" xfId="0" applyNumberFormat="1" applyFont="1" applyFill="1" applyBorder="1" applyAlignment="1">
      <alignment horizontal="center"/>
    </xf>
    <xf numFmtId="43" fontId="42" fillId="0" borderId="11" xfId="74" applyFont="1" applyBorder="1" applyAlignment="1">
      <alignment horizontal="center" vertical="center"/>
    </xf>
    <xf numFmtId="43" fontId="42" fillId="36" borderId="15" xfId="74" applyFont="1" applyFill="1" applyBorder="1" applyAlignment="1">
      <alignment horizontal="center" vertical="center"/>
    </xf>
    <xf numFmtId="43" fontId="51" fillId="26" borderId="11" xfId="74" applyFont="1" applyFill="1" applyBorder="1" applyAlignment="1">
      <alignment horizontal="center" vertical="center" wrapText="1"/>
    </xf>
    <xf numFmtId="7" fontId="46" fillId="38" borderId="17" xfId="33" applyNumberFormat="1" applyFont="1" applyFill="1" applyBorder="1" applyAlignment="1">
      <alignment horizontal="center" vertical="center"/>
    </xf>
    <xf numFmtId="7" fontId="46" fillId="38" borderId="20" xfId="33" applyNumberFormat="1" applyFont="1" applyFill="1" applyBorder="1" applyAlignment="1">
      <alignment horizontal="center" vertical="center"/>
    </xf>
    <xf numFmtId="0" fontId="46" fillId="38" borderId="11" xfId="0" applyFont="1" applyFill="1" applyBorder="1" applyAlignment="1">
      <alignment horizontal="center"/>
    </xf>
    <xf numFmtId="7" fontId="46" fillId="38" borderId="11" xfId="33" applyNumberFormat="1" applyFont="1" applyFill="1" applyBorder="1" applyAlignment="1">
      <alignment horizontal="center" vertical="center"/>
    </xf>
    <xf numFmtId="0" fontId="34" fillId="36" borderId="11" xfId="0" applyFont="1" applyFill="1" applyBorder="1" applyAlignment="1">
      <alignment horizontal="center"/>
    </xf>
    <xf numFmtId="43" fontId="38" fillId="25" borderId="12" xfId="74" applyFont="1" applyFill="1" applyBorder="1" applyAlignment="1">
      <alignment horizontal="center" vertical="center"/>
    </xf>
    <xf numFmtId="43" fontId="38" fillId="25" borderId="18" xfId="74" applyFont="1" applyFill="1" applyBorder="1" applyAlignment="1">
      <alignment horizontal="center" vertical="center"/>
    </xf>
    <xf numFmtId="43" fontId="38" fillId="25" borderId="13" xfId="74" applyFont="1" applyFill="1" applyBorder="1" applyAlignment="1">
      <alignment horizontal="center" vertical="center"/>
    </xf>
    <xf numFmtId="2" fontId="64" fillId="37" borderId="11" xfId="0" applyNumberFormat="1" applyFont="1" applyFill="1" applyBorder="1" applyAlignment="1">
      <alignment horizontal="center"/>
    </xf>
    <xf numFmtId="0" fontId="51" fillId="25" borderId="11" xfId="0" applyFont="1" applyFill="1" applyBorder="1" applyAlignment="1">
      <alignment horizontal="center" vertical="center"/>
    </xf>
    <xf numFmtId="0" fontId="31" fillId="25" borderId="11" xfId="0" applyFont="1" applyFill="1" applyBorder="1" applyAlignment="1">
      <alignment horizontal="center"/>
    </xf>
    <xf numFmtId="0" fontId="42" fillId="33" borderId="11" xfId="0" applyFont="1" applyFill="1" applyBorder="1" applyAlignment="1">
      <alignment horizontal="center"/>
    </xf>
    <xf numFmtId="43" fontId="46" fillId="38" borderId="11" xfId="0" applyNumberFormat="1" applyFont="1" applyFill="1" applyBorder="1" applyAlignment="1">
      <alignment horizontal="left" vertical="center"/>
    </xf>
    <xf numFmtId="0" fontId="34" fillId="25" borderId="11" xfId="0" applyFont="1" applyFill="1" applyBorder="1" applyAlignment="1">
      <alignment horizontal="center"/>
    </xf>
    <xf numFmtId="171" fontId="41" fillId="25" borderId="11" xfId="0" applyNumberFormat="1" applyFont="1" applyFill="1" applyBorder="1" applyAlignment="1">
      <alignment horizontal="center"/>
    </xf>
    <xf numFmtId="171" fontId="41" fillId="25" borderId="26" xfId="0" applyNumberFormat="1" applyFont="1" applyFill="1" applyBorder="1" applyAlignment="1">
      <alignment horizontal="center"/>
    </xf>
    <xf numFmtId="0" fontId="36" fillId="0" borderId="12" xfId="0" applyFont="1" applyBorder="1" applyAlignment="1">
      <alignment horizontal="center"/>
    </xf>
    <xf numFmtId="0" fontId="36" fillId="0" borderId="13" xfId="0" applyFont="1" applyBorder="1" applyAlignment="1">
      <alignment horizontal="center"/>
    </xf>
    <xf numFmtId="0" fontId="42" fillId="33" borderId="15" xfId="0" applyFont="1" applyFill="1" applyBorder="1" applyAlignment="1">
      <alignment horizontal="center"/>
    </xf>
    <xf numFmtId="43" fontId="38" fillId="38" borderId="12" xfId="74" applyFont="1" applyFill="1" applyBorder="1" applyAlignment="1">
      <alignment horizontal="center" vertical="center"/>
    </xf>
    <xf numFmtId="43" fontId="38" fillId="38" borderId="18" xfId="74" applyFont="1" applyFill="1" applyBorder="1" applyAlignment="1">
      <alignment horizontal="center" vertical="center"/>
    </xf>
    <xf numFmtId="43" fontId="38" fillId="38" borderId="13" xfId="74" applyFont="1" applyFill="1" applyBorder="1" applyAlignment="1">
      <alignment horizontal="center" vertical="center"/>
    </xf>
    <xf numFmtId="174" fontId="46" fillId="32" borderId="11" xfId="0" applyNumberFormat="1" applyFont="1" applyFill="1" applyBorder="1" applyAlignment="1">
      <alignment horizontal="center"/>
    </xf>
    <xf numFmtId="0" fontId="36" fillId="25" borderId="11" xfId="0" applyFont="1" applyFill="1" applyBorder="1" applyAlignment="1">
      <alignment horizontal="center"/>
    </xf>
    <xf numFmtId="0" fontId="43" fillId="25" borderId="11" xfId="42" applyFont="1" applyFill="1" applyBorder="1" applyAlignment="1">
      <alignment horizontal="center"/>
    </xf>
    <xf numFmtId="4" fontId="29" fillId="25" borderId="11" xfId="0" applyNumberFormat="1" applyFont="1" applyFill="1" applyBorder="1" applyAlignment="1">
      <alignment horizontal="left" vertical="center"/>
    </xf>
    <xf numFmtId="0" fontId="0" fillId="0" borderId="11" xfId="0" applyBorder="1" applyAlignment="1">
      <alignment horizontal="left" vertical="center"/>
    </xf>
    <xf numFmtId="2" fontId="67" fillId="25" borderId="12" xfId="0" applyNumberFormat="1" applyFont="1" applyFill="1" applyBorder="1" applyAlignment="1">
      <alignment horizontal="center"/>
    </xf>
    <xf numFmtId="2" fontId="67" fillId="25" borderId="13" xfId="0" applyNumberFormat="1" applyFont="1" applyFill="1" applyBorder="1" applyAlignment="1">
      <alignment horizontal="center"/>
    </xf>
    <xf numFmtId="174" fontId="36" fillId="25" borderId="11" xfId="0" applyNumberFormat="1" applyFont="1" applyFill="1" applyBorder="1" applyAlignment="1">
      <alignment horizontal="right"/>
    </xf>
    <xf numFmtId="7" fontId="46" fillId="26" borderId="11" xfId="0" applyNumberFormat="1" applyFont="1" applyFill="1" applyBorder="1" applyAlignment="1">
      <alignment horizontal="center"/>
    </xf>
    <xf numFmtId="44" fontId="46" fillId="26" borderId="11" xfId="0" applyNumberFormat="1" applyFont="1" applyFill="1" applyBorder="1" applyAlignment="1">
      <alignment horizontal="center"/>
    </xf>
    <xf numFmtId="4" fontId="37" fillId="33" borderId="0" xfId="0" applyNumberFormat="1" applyFont="1" applyFill="1" applyBorder="1" applyAlignment="1">
      <alignment horizontal="center" vertical="center"/>
    </xf>
    <xf numFmtId="0" fontId="34" fillId="32" borderId="15" xfId="0" applyFont="1" applyFill="1" applyBorder="1" applyAlignment="1">
      <alignment horizontal="right" vertical="center"/>
    </xf>
    <xf numFmtId="174" fontId="29" fillId="25" borderId="11" xfId="34" applyNumberFormat="1" applyFont="1" applyFill="1" applyBorder="1" applyAlignment="1">
      <alignment horizontal="center" vertical="center" shrinkToFit="1"/>
    </xf>
    <xf numFmtId="1" fontId="29" fillId="25" borderId="11" xfId="0" applyNumberFormat="1" applyFont="1" applyFill="1" applyBorder="1" applyAlignment="1">
      <alignment horizontal="center" vertical="center" shrinkToFit="1"/>
    </xf>
    <xf numFmtId="10" fontId="29" fillId="25" borderId="11" xfId="0" applyNumberFormat="1" applyFont="1" applyFill="1" applyBorder="1" applyAlignment="1">
      <alignment horizontal="center" vertical="center" shrinkToFit="1"/>
    </xf>
    <xf numFmtId="2" fontId="29" fillId="25" borderId="11" xfId="0" applyNumberFormat="1" applyFont="1" applyFill="1" applyBorder="1" applyAlignment="1">
      <alignment horizontal="center" vertical="center" shrinkToFit="1"/>
    </xf>
    <xf numFmtId="178" fontId="29" fillId="25" borderId="11" xfId="0" applyNumberFormat="1" applyFont="1" applyFill="1" applyBorder="1" applyAlignment="1">
      <alignment horizontal="center" vertical="center"/>
    </xf>
    <xf numFmtId="4" fontId="46" fillId="32" borderId="11" xfId="0" applyNumberFormat="1" applyFont="1" applyFill="1" applyBorder="1" applyAlignment="1">
      <alignment horizontal="center" vertical="center"/>
    </xf>
    <xf numFmtId="4" fontId="45" fillId="33" borderId="11" xfId="0" applyNumberFormat="1" applyFont="1" applyFill="1" applyBorder="1" applyAlignment="1">
      <alignment horizontal="center" vertical="center" wrapText="1"/>
    </xf>
    <xf numFmtId="1" fontId="29" fillId="25" borderId="12" xfId="0" applyNumberFormat="1" applyFont="1" applyFill="1" applyBorder="1" applyAlignment="1">
      <alignment horizontal="center" vertical="center" shrinkToFit="1"/>
    </xf>
    <xf numFmtId="1" fontId="29" fillId="25" borderId="13" xfId="0" applyNumberFormat="1" applyFont="1" applyFill="1" applyBorder="1" applyAlignment="1">
      <alignment horizontal="center" vertical="center" shrinkToFit="1"/>
    </xf>
    <xf numFmtId="174" fontId="46" fillId="32" borderId="11" xfId="0" applyNumberFormat="1" applyFont="1" applyFill="1" applyBorder="1" applyAlignment="1">
      <alignment horizontal="left" vertical="center"/>
    </xf>
    <xf numFmtId="174" fontId="84" fillId="32" borderId="11" xfId="0" applyNumberFormat="1" applyFont="1" applyFill="1" applyBorder="1" applyAlignment="1">
      <alignment horizontal="left" vertical="center"/>
    </xf>
    <xf numFmtId="0" fontId="36" fillId="0" borderId="11" xfId="0" applyFont="1" applyBorder="1" applyAlignment="1">
      <alignment horizontal="center"/>
    </xf>
    <xf numFmtId="174" fontId="36" fillId="25" borderId="11" xfId="33" applyNumberFormat="1" applyFont="1" applyFill="1" applyBorder="1" applyAlignment="1">
      <alignment horizontal="center"/>
    </xf>
    <xf numFmtId="174" fontId="36" fillId="0" borderId="11" xfId="0" applyNumberFormat="1" applyFont="1" applyBorder="1" applyAlignment="1">
      <alignment horizontal="center"/>
    </xf>
    <xf numFmtId="43" fontId="46" fillId="32" borderId="11" xfId="0" applyNumberFormat="1" applyFont="1" applyFill="1" applyBorder="1" applyAlignment="1">
      <alignment horizontal="center"/>
    </xf>
    <xf numFmtId="0" fontId="34" fillId="33" borderId="11" xfId="0" applyFont="1" applyFill="1" applyBorder="1" applyAlignment="1">
      <alignment horizontal="center" vertical="center" wrapText="1"/>
    </xf>
    <xf numFmtId="4" fontId="43" fillId="25" borderId="11" xfId="0" applyNumberFormat="1" applyFont="1" applyFill="1" applyBorder="1" applyAlignment="1">
      <alignment horizontal="left" vertical="center"/>
    </xf>
    <xf numFmtId="174" fontId="43" fillId="25" borderId="11" xfId="34" applyNumberFormat="1" applyFont="1" applyFill="1" applyBorder="1" applyAlignment="1">
      <alignment horizontal="right" vertical="center" shrinkToFit="1"/>
    </xf>
    <xf numFmtId="1" fontId="43" fillId="25" borderId="11" xfId="0" applyNumberFormat="1" applyFont="1" applyFill="1" applyBorder="1" applyAlignment="1">
      <alignment horizontal="center" vertical="center" shrinkToFit="1"/>
    </xf>
    <xf numFmtId="10" fontId="43" fillId="25" borderId="11" xfId="0" applyNumberFormat="1" applyFont="1" applyFill="1" applyBorder="1" applyAlignment="1">
      <alignment horizontal="center" vertical="center" shrinkToFit="1"/>
    </xf>
    <xf numFmtId="4" fontId="46" fillId="32" borderId="11" xfId="0" applyNumberFormat="1" applyFont="1" applyFill="1" applyBorder="1" applyAlignment="1">
      <alignment horizontal="left" vertical="center"/>
    </xf>
    <xf numFmtId="174" fontId="46" fillId="27" borderId="11" xfId="0" applyNumberFormat="1" applyFont="1" applyFill="1" applyBorder="1" applyAlignment="1">
      <alignment horizontal="center"/>
    </xf>
    <xf numFmtId="44" fontId="36" fillId="25" borderId="0" xfId="33" applyFont="1" applyFill="1" applyBorder="1" applyAlignment="1">
      <alignment horizontal="center"/>
    </xf>
    <xf numFmtId="0" fontId="36" fillId="25" borderId="12" xfId="0" applyFont="1" applyFill="1" applyBorder="1" applyAlignment="1">
      <alignment horizontal="left"/>
    </xf>
    <xf numFmtId="0" fontId="36" fillId="25" borderId="18" xfId="0" applyFont="1" applyFill="1" applyBorder="1" applyAlignment="1">
      <alignment horizontal="left"/>
    </xf>
    <xf numFmtId="0" fontId="36" fillId="25" borderId="13" xfId="0" applyFont="1" applyFill="1" applyBorder="1" applyAlignment="1">
      <alignment horizontal="left"/>
    </xf>
    <xf numFmtId="173" fontId="2" fillId="25" borderId="11" xfId="43" applyNumberFormat="1" applyFont="1" applyFill="1" applyBorder="1" applyAlignment="1">
      <alignment horizontal="center" vertical="center" wrapText="1"/>
    </xf>
    <xf numFmtId="172" fontId="43" fillId="27" borderId="0" xfId="43" applyNumberFormat="1" applyFont="1" applyFill="1" applyBorder="1" applyAlignment="1">
      <alignment horizontal="center" vertical="center" wrapText="1"/>
    </xf>
    <xf numFmtId="172" fontId="43" fillId="27" borderId="5" xfId="43" applyNumberFormat="1" applyFont="1" applyFill="1" applyBorder="1" applyAlignment="1">
      <alignment horizontal="center" vertical="center" wrapText="1"/>
    </xf>
    <xf numFmtId="176" fontId="43" fillId="27" borderId="0" xfId="43" applyNumberFormat="1" applyFont="1" applyFill="1" applyBorder="1" applyAlignment="1">
      <alignment horizontal="center" vertical="center" wrapText="1"/>
    </xf>
    <xf numFmtId="176" fontId="43" fillId="27" borderId="5" xfId="43" applyNumberFormat="1" applyFont="1" applyFill="1" applyBorder="1" applyAlignment="1">
      <alignment horizontal="center" vertical="center" wrapText="1"/>
    </xf>
    <xf numFmtId="177" fontId="45" fillId="27" borderId="15" xfId="43" applyNumberFormat="1" applyFont="1" applyFill="1" applyBorder="1" applyAlignment="1">
      <alignment horizontal="right" vertical="center" wrapText="1"/>
    </xf>
    <xf numFmtId="177" fontId="45" fillId="27" borderId="40" xfId="43" applyNumberFormat="1" applyFont="1" applyFill="1" applyBorder="1" applyAlignment="1">
      <alignment horizontal="right" vertical="center" wrapText="1"/>
    </xf>
    <xf numFmtId="174" fontId="44" fillId="25" borderId="0" xfId="0" applyNumberFormat="1" applyFont="1" applyFill="1" applyBorder="1" applyAlignment="1">
      <alignment horizontal="left" vertical="center" shrinkToFit="1"/>
    </xf>
    <xf numFmtId="4" fontId="44" fillId="25" borderId="0" xfId="0" applyNumberFormat="1" applyFont="1" applyFill="1" applyBorder="1" applyAlignment="1">
      <alignment horizontal="center" vertical="center"/>
    </xf>
    <xf numFmtId="9" fontId="36" fillId="25" borderId="11" xfId="0" applyNumberFormat="1" applyFont="1" applyFill="1" applyBorder="1" applyAlignment="1">
      <alignment horizontal="center"/>
    </xf>
    <xf numFmtId="4" fontId="45" fillId="27" borderId="12" xfId="0" applyNumberFormat="1" applyFont="1" applyFill="1" applyBorder="1" applyAlignment="1">
      <alignment horizontal="center" vertical="center"/>
    </xf>
    <xf numFmtId="4" fontId="45" fillId="27" borderId="18" xfId="0" applyNumberFormat="1" applyFont="1" applyFill="1" applyBorder="1" applyAlignment="1">
      <alignment horizontal="center" vertical="center"/>
    </xf>
    <xf numFmtId="4" fontId="45" fillId="27" borderId="13" xfId="0" applyNumberFormat="1" applyFont="1" applyFill="1" applyBorder="1" applyAlignment="1">
      <alignment horizontal="center" vertical="center"/>
    </xf>
    <xf numFmtId="4" fontId="45" fillId="27" borderId="17" xfId="0" applyNumberFormat="1" applyFont="1" applyFill="1" applyBorder="1" applyAlignment="1">
      <alignment horizontal="center" vertical="center"/>
    </xf>
    <xf numFmtId="4" fontId="45" fillId="27" borderId="19" xfId="0" applyNumberFormat="1" applyFont="1" applyFill="1" applyBorder="1" applyAlignment="1">
      <alignment horizontal="center" vertical="center"/>
    </xf>
    <xf numFmtId="4" fontId="45" fillId="27" borderId="20" xfId="0" applyNumberFormat="1" applyFont="1" applyFill="1" applyBorder="1" applyAlignment="1">
      <alignment horizontal="center" vertical="center"/>
    </xf>
    <xf numFmtId="175" fontId="43" fillId="27" borderId="0" xfId="43" applyNumberFormat="1" applyFont="1" applyFill="1" applyBorder="1" applyAlignment="1">
      <alignment horizontal="center" vertical="center" wrapText="1"/>
    </xf>
    <xf numFmtId="175" fontId="43" fillId="27" borderId="5" xfId="43" applyNumberFormat="1" applyFont="1" applyFill="1" applyBorder="1" applyAlignment="1">
      <alignment horizontal="center" vertical="center" wrapText="1"/>
    </xf>
    <xf numFmtId="2" fontId="36" fillId="25" borderId="11" xfId="33" applyNumberFormat="1" applyFont="1" applyFill="1" applyBorder="1" applyAlignment="1">
      <alignment horizontal="center"/>
    </xf>
    <xf numFmtId="0" fontId="34" fillId="33" borderId="11" xfId="0" applyFont="1" applyFill="1" applyBorder="1" applyAlignment="1">
      <alignment horizontal="center"/>
    </xf>
    <xf numFmtId="0" fontId="36" fillId="25" borderId="12" xfId="0" applyFont="1" applyFill="1" applyBorder="1" applyAlignment="1">
      <alignment horizontal="center"/>
    </xf>
    <xf numFmtId="0" fontId="36" fillId="25" borderId="18" xfId="0" applyFont="1" applyFill="1" applyBorder="1" applyAlignment="1">
      <alignment horizontal="center"/>
    </xf>
    <xf numFmtId="0" fontId="36" fillId="25" borderId="13" xfId="0" applyFont="1" applyFill="1" applyBorder="1" applyAlignment="1">
      <alignment horizontal="center"/>
    </xf>
    <xf numFmtId="184" fontId="2" fillId="25" borderId="11" xfId="43" applyNumberFormat="1" applyFont="1" applyFill="1" applyBorder="1" applyAlignment="1">
      <alignment horizontal="center" vertical="center" wrapText="1"/>
    </xf>
    <xf numFmtId="0" fontId="34" fillId="33" borderId="15" xfId="0" applyFont="1" applyFill="1" applyBorder="1" applyAlignment="1">
      <alignment horizontal="center"/>
    </xf>
    <xf numFmtId="0" fontId="42" fillId="25" borderId="11" xfId="0" applyFont="1" applyFill="1" applyBorder="1" applyAlignment="1">
      <alignment horizontal="center"/>
    </xf>
    <xf numFmtId="177" fontId="43" fillId="25" borderId="11" xfId="43" applyNumberFormat="1" applyFont="1" applyFill="1" applyBorder="1" applyAlignment="1">
      <alignment horizontal="center" vertical="center" wrapText="1"/>
    </xf>
    <xf numFmtId="39" fontId="36" fillId="0" borderId="11" xfId="74" applyNumberFormat="1" applyFont="1" applyFill="1" applyBorder="1" applyAlignment="1">
      <alignment horizontal="center" vertical="center"/>
    </xf>
    <xf numFmtId="7" fontId="36" fillId="25" borderId="11" xfId="0" applyNumberFormat="1" applyFont="1" applyFill="1" applyBorder="1" applyAlignment="1">
      <alignment horizontal="center"/>
    </xf>
    <xf numFmtId="7" fontId="34" fillId="25" borderId="11" xfId="0" applyNumberFormat="1" applyFont="1" applyFill="1" applyBorder="1" applyAlignment="1">
      <alignment horizontal="center"/>
    </xf>
    <xf numFmtId="43" fontId="45" fillId="33" borderId="12" xfId="74" applyFont="1" applyFill="1" applyBorder="1" applyAlignment="1">
      <alignment horizontal="left" vertical="center" wrapText="1"/>
    </xf>
    <xf numFmtId="43" fontId="45" fillId="33" borderId="18" xfId="74" applyFont="1" applyFill="1" applyBorder="1" applyAlignment="1">
      <alignment horizontal="left" vertical="center" wrapText="1"/>
    </xf>
    <xf numFmtId="43" fontId="45" fillId="33" borderId="13" xfId="74" applyFont="1" applyFill="1" applyBorder="1" applyAlignment="1">
      <alignment horizontal="left" vertical="center" wrapText="1"/>
    </xf>
    <xf numFmtId="7" fontId="34" fillId="33" borderId="12" xfId="74" applyNumberFormat="1" applyFont="1" applyFill="1" applyBorder="1" applyAlignment="1">
      <alignment horizontal="right" vertical="center"/>
    </xf>
    <xf numFmtId="7" fontId="34" fillId="33" borderId="18" xfId="74" applyNumberFormat="1" applyFont="1" applyFill="1" applyBorder="1" applyAlignment="1">
      <alignment horizontal="right" vertical="center"/>
    </xf>
    <xf numFmtId="7" fontId="34" fillId="33" borderId="13" xfId="74" applyNumberFormat="1" applyFont="1" applyFill="1" applyBorder="1" applyAlignment="1">
      <alignment horizontal="right" vertical="center"/>
    </xf>
    <xf numFmtId="10" fontId="34" fillId="33" borderId="11" xfId="55" applyNumberFormat="1" applyFont="1" applyFill="1" applyBorder="1" applyAlignment="1">
      <alignment horizontal="center" vertical="center" wrapText="1"/>
    </xf>
    <xf numFmtId="43" fontId="29" fillId="25" borderId="11" xfId="74" applyFont="1" applyFill="1" applyBorder="1" applyAlignment="1">
      <alignment horizontal="left" vertical="center"/>
    </xf>
    <xf numFmtId="43" fontId="37" fillId="25" borderId="11" xfId="74" applyFont="1" applyFill="1" applyBorder="1" applyAlignment="1">
      <alignment horizontal="center" vertical="center"/>
    </xf>
    <xf numFmtId="43" fontId="29" fillId="0" borderId="11" xfId="74" applyFont="1" applyFill="1" applyBorder="1" applyAlignment="1">
      <alignment horizontal="left" vertical="center"/>
    </xf>
    <xf numFmtId="43" fontId="66" fillId="25" borderId="11" xfId="74" applyFont="1" applyFill="1" applyBorder="1" applyAlignment="1">
      <alignment horizontal="center" vertical="center" wrapText="1"/>
    </xf>
    <xf numFmtId="43" fontId="36" fillId="25" borderId="12" xfId="74" applyFont="1" applyFill="1" applyBorder="1" applyAlignment="1">
      <alignment horizontal="center" vertical="center" wrapText="1"/>
    </xf>
    <xf numFmtId="43" fontId="36" fillId="25" borderId="13" xfId="74" applyFont="1" applyFill="1" applyBorder="1" applyAlignment="1">
      <alignment horizontal="center" vertical="center" wrapText="1"/>
    </xf>
    <xf numFmtId="43" fontId="41" fillId="33" borderId="14" xfId="0" applyNumberFormat="1" applyFont="1" applyFill="1" applyBorder="1" applyAlignment="1">
      <alignment horizontal="center" vertical="center"/>
    </xf>
    <xf numFmtId="43" fontId="41" fillId="33" borderId="0" xfId="0" applyNumberFormat="1" applyFont="1" applyFill="1" applyBorder="1" applyAlignment="1">
      <alignment horizontal="center" vertical="center"/>
    </xf>
    <xf numFmtId="0" fontId="34" fillId="36" borderId="0" xfId="0" applyFont="1" applyFill="1" applyBorder="1" applyAlignment="1">
      <alignment horizontal="center"/>
    </xf>
    <xf numFmtId="43" fontId="37" fillId="25" borderId="12" xfId="74" applyFont="1" applyFill="1" applyBorder="1" applyAlignment="1">
      <alignment horizontal="left" vertical="center"/>
    </xf>
    <xf numFmtId="43" fontId="37" fillId="25" borderId="18" xfId="74" applyFont="1" applyFill="1" applyBorder="1" applyAlignment="1">
      <alignment horizontal="left" vertical="center"/>
    </xf>
    <xf numFmtId="9" fontId="37" fillId="25" borderId="18" xfId="74" applyNumberFormat="1" applyFont="1" applyFill="1" applyBorder="1" applyAlignment="1">
      <alignment horizontal="left" vertical="center"/>
    </xf>
    <xf numFmtId="43" fontId="37" fillId="25" borderId="13" xfId="74" applyFont="1" applyFill="1" applyBorder="1" applyAlignment="1">
      <alignment horizontal="left" vertical="center"/>
    </xf>
    <xf numFmtId="171" fontId="43" fillId="0" borderId="11" xfId="43" applyNumberFormat="1" applyFont="1" applyFill="1" applyBorder="1" applyAlignment="1">
      <alignment horizontal="left" vertical="center" wrapText="1"/>
    </xf>
    <xf numFmtId="43" fontId="29" fillId="0" borderId="11" xfId="74" applyFont="1" applyFill="1" applyBorder="1" applyAlignment="1">
      <alignment horizontal="left" vertical="center" wrapText="1"/>
    </xf>
    <xf numFmtId="192" fontId="73" fillId="0" borderId="11" xfId="74" applyNumberFormat="1" applyFont="1" applyFill="1" applyBorder="1" applyAlignment="1">
      <alignment horizontal="left" vertical="center" wrapText="1"/>
    </xf>
    <xf numFmtId="193" fontId="73" fillId="0" borderId="11" xfId="74" applyNumberFormat="1" applyFont="1" applyFill="1" applyBorder="1" applyAlignment="1">
      <alignment horizontal="left" vertical="center" wrapText="1"/>
    </xf>
    <xf numFmtId="190" fontId="29" fillId="0" borderId="11" xfId="74" applyNumberFormat="1" applyFont="1" applyFill="1" applyBorder="1" applyAlignment="1">
      <alignment horizontal="left" vertical="center" wrapText="1"/>
    </xf>
    <xf numFmtId="191" fontId="29" fillId="0" borderId="11" xfId="74" applyNumberFormat="1" applyFont="1" applyFill="1" applyBorder="1" applyAlignment="1">
      <alignment horizontal="left" vertical="center" wrapText="1"/>
    </xf>
    <xf numFmtId="49" fontId="2" fillId="25" borderId="12" xfId="43" applyNumberFormat="1" applyFont="1" applyFill="1" applyBorder="1" applyAlignment="1">
      <alignment horizontal="left" vertical="center"/>
    </xf>
    <xf numFmtId="49" fontId="2" fillId="25" borderId="18" xfId="43" applyNumberFormat="1" applyFont="1" applyFill="1" applyBorder="1" applyAlignment="1">
      <alignment horizontal="left" vertical="center"/>
    </xf>
    <xf numFmtId="49" fontId="2" fillId="25" borderId="13" xfId="43" applyNumberFormat="1" applyFont="1" applyFill="1" applyBorder="1" applyAlignment="1">
      <alignment horizontal="left" vertical="center"/>
    </xf>
    <xf numFmtId="2" fontId="56" fillId="25" borderId="11" xfId="74" applyNumberFormat="1" applyFont="1" applyFill="1" applyBorder="1" applyAlignment="1">
      <alignment horizontal="right" vertical="center"/>
    </xf>
    <xf numFmtId="43" fontId="48" fillId="0" borderId="11" xfId="74" applyFont="1" applyBorder="1" applyAlignment="1">
      <alignment horizontal="left" vertical="center"/>
    </xf>
    <xf numFmtId="0" fontId="36" fillId="0" borderId="11" xfId="0" applyFont="1" applyBorder="1" applyAlignment="1">
      <alignment horizontal="left"/>
    </xf>
    <xf numFmtId="4" fontId="43" fillId="25" borderId="12" xfId="0" applyNumberFormat="1" applyFont="1" applyFill="1" applyBorder="1" applyAlignment="1">
      <alignment vertical="center"/>
    </xf>
    <xf numFmtId="4" fontId="43" fillId="25" borderId="13" xfId="0" applyNumberFormat="1" applyFont="1" applyFill="1" applyBorder="1" applyAlignment="1">
      <alignment vertical="center"/>
    </xf>
    <xf numFmtId="7" fontId="36" fillId="0" borderId="12" xfId="0" applyNumberFormat="1" applyFont="1" applyBorder="1" applyAlignment="1">
      <alignment horizontal="center"/>
    </xf>
    <xf numFmtId="7" fontId="36" fillId="0" borderId="13" xfId="0" applyNumberFormat="1" applyFont="1" applyBorder="1" applyAlignment="1">
      <alignment horizontal="center"/>
    </xf>
    <xf numFmtId="7" fontId="36" fillId="0" borderId="11" xfId="0" applyNumberFormat="1" applyFont="1" applyBorder="1" applyAlignment="1">
      <alignment horizontal="center"/>
    </xf>
    <xf numFmtId="177" fontId="36" fillId="0" borderId="12" xfId="0" applyNumberFormat="1" applyFont="1" applyBorder="1" applyAlignment="1">
      <alignment horizontal="center"/>
    </xf>
    <xf numFmtId="177" fontId="36" fillId="0" borderId="13" xfId="0" applyNumberFormat="1" applyFont="1" applyBorder="1" applyAlignment="1">
      <alignment horizontal="center"/>
    </xf>
    <xf numFmtId="0" fontId="34" fillId="25" borderId="11" xfId="0" applyFont="1" applyFill="1" applyBorder="1" applyAlignment="1">
      <alignment horizontal="center" wrapText="1"/>
    </xf>
    <xf numFmtId="0" fontId="41" fillId="26" borderId="11" xfId="0" applyFont="1" applyFill="1" applyBorder="1" applyAlignment="1">
      <alignment horizontal="center"/>
    </xf>
    <xf numFmtId="9" fontId="43" fillId="24" borderId="11" xfId="55" applyFont="1" applyFill="1" applyBorder="1" applyAlignment="1">
      <alignment horizontal="center"/>
    </xf>
    <xf numFmtId="4" fontId="45" fillId="25" borderId="11" xfId="0" applyNumberFormat="1" applyFont="1" applyFill="1" applyBorder="1" applyAlignment="1">
      <alignment horizontal="center" vertical="center"/>
    </xf>
    <xf numFmtId="174" fontId="43" fillId="25" borderId="11" xfId="0" applyNumberFormat="1" applyFont="1" applyFill="1" applyBorder="1" applyAlignment="1">
      <alignment horizontal="center" vertical="center"/>
    </xf>
    <xf numFmtId="4" fontId="45" fillId="32" borderId="12" xfId="0" applyNumberFormat="1" applyFont="1" applyFill="1" applyBorder="1" applyAlignment="1">
      <alignment horizontal="left" vertical="center"/>
    </xf>
    <xf numFmtId="4" fontId="45" fillId="32" borderId="18" xfId="0" applyNumberFormat="1" applyFont="1" applyFill="1" applyBorder="1" applyAlignment="1">
      <alignment horizontal="left" vertical="center"/>
    </xf>
    <xf numFmtId="4" fontId="45" fillId="32" borderId="13" xfId="0" applyNumberFormat="1" applyFont="1" applyFill="1" applyBorder="1" applyAlignment="1">
      <alignment horizontal="left" vertical="center"/>
    </xf>
    <xf numFmtId="0" fontId="46" fillId="32" borderId="11" xfId="0" applyFont="1" applyFill="1" applyBorder="1" applyAlignment="1">
      <alignment horizontal="center"/>
    </xf>
    <xf numFmtId="43" fontId="34" fillId="38" borderId="11" xfId="74" applyFont="1" applyFill="1" applyBorder="1" applyAlignment="1">
      <alignment horizontal="center" vertical="center"/>
    </xf>
    <xf numFmtId="43" fontId="36" fillId="38" borderId="12" xfId="74" applyFont="1" applyFill="1" applyBorder="1" applyAlignment="1">
      <alignment horizontal="left" vertical="center"/>
    </xf>
    <xf numFmtId="43" fontId="36" fillId="38" borderId="18" xfId="74" applyFont="1" applyFill="1" applyBorder="1" applyAlignment="1">
      <alignment horizontal="left" vertical="center"/>
    </xf>
    <xf numFmtId="43" fontId="36" fillId="38" borderId="13" xfId="74" applyFont="1" applyFill="1" applyBorder="1" applyAlignment="1">
      <alignment horizontal="left" vertical="center"/>
    </xf>
    <xf numFmtId="7" fontId="36" fillId="38" borderId="11" xfId="33" applyNumberFormat="1" applyFont="1" applyFill="1" applyBorder="1" applyAlignment="1">
      <alignment horizontal="right" vertical="center"/>
    </xf>
    <xf numFmtId="44" fontId="36" fillId="38" borderId="11" xfId="33" applyNumberFormat="1" applyFont="1" applyFill="1" applyBorder="1" applyAlignment="1">
      <alignment horizontal="right" vertical="center"/>
    </xf>
    <xf numFmtId="4" fontId="2" fillId="0" borderId="11" xfId="43" applyNumberFormat="1" applyFont="1" applyFill="1" applyBorder="1" applyAlignment="1">
      <alignment horizontal="center" vertical="center"/>
    </xf>
    <xf numFmtId="10" fontId="2" fillId="25" borderId="12" xfId="43" applyNumberFormat="1" applyFont="1" applyFill="1" applyBorder="1" applyAlignment="1">
      <alignment horizontal="left" vertical="center"/>
    </xf>
    <xf numFmtId="10" fontId="2" fillId="25" borderId="18" xfId="43" applyNumberFormat="1" applyFont="1" applyFill="1" applyBorder="1" applyAlignment="1">
      <alignment horizontal="left" vertical="center"/>
    </xf>
    <xf numFmtId="10" fontId="2" fillId="25" borderId="13" xfId="43" applyNumberFormat="1" applyFont="1" applyFill="1" applyBorder="1" applyAlignment="1">
      <alignment horizontal="left" vertical="center"/>
    </xf>
    <xf numFmtId="43" fontId="50" fillId="0" borderId="11" xfId="74" applyFont="1" applyBorder="1" applyAlignment="1">
      <alignment horizontal="left" vertical="center"/>
    </xf>
    <xf numFmtId="43" fontId="36" fillId="25" borderId="12" xfId="74" applyFont="1" applyFill="1" applyBorder="1" applyAlignment="1">
      <alignment horizontal="center" vertical="center"/>
    </xf>
    <xf numFmtId="43" fontId="36" fillId="25" borderId="18" xfId="74" applyFont="1" applyFill="1" applyBorder="1" applyAlignment="1">
      <alignment horizontal="center" vertical="center"/>
    </xf>
    <xf numFmtId="43" fontId="36" fillId="25" borderId="13" xfId="74" applyFont="1" applyFill="1" applyBorder="1" applyAlignment="1">
      <alignment horizontal="center" vertical="center"/>
    </xf>
    <xf numFmtId="43" fontId="34" fillId="25" borderId="11" xfId="74" applyFont="1" applyFill="1" applyBorder="1" applyAlignment="1">
      <alignment horizontal="center" vertical="center"/>
    </xf>
    <xf numFmtId="49" fontId="2" fillId="25" borderId="19" xfId="43" applyNumberFormat="1" applyFont="1" applyFill="1" applyBorder="1" applyAlignment="1">
      <alignment horizontal="right" vertical="center"/>
    </xf>
    <xf numFmtId="49" fontId="2" fillId="25" borderId="20" xfId="43" applyNumberFormat="1" applyFont="1" applyFill="1" applyBorder="1" applyAlignment="1">
      <alignment horizontal="right" vertical="center"/>
    </xf>
    <xf numFmtId="10" fontId="39" fillId="25" borderId="12" xfId="43" applyNumberFormat="1" applyFont="1" applyFill="1" applyBorder="1" applyAlignment="1">
      <alignment horizontal="center" vertical="center"/>
    </xf>
    <xf numFmtId="10" fontId="39" fillId="25" borderId="18" xfId="43" applyNumberFormat="1" applyFont="1" applyFill="1" applyBorder="1" applyAlignment="1">
      <alignment horizontal="center" vertical="center"/>
    </xf>
    <xf numFmtId="10" fontId="39" fillId="25" borderId="13" xfId="43" applyNumberFormat="1" applyFont="1" applyFill="1" applyBorder="1" applyAlignment="1">
      <alignment horizontal="center" vertical="center"/>
    </xf>
    <xf numFmtId="10" fontId="36" fillId="38" borderId="11" xfId="55" applyNumberFormat="1" applyFont="1" applyFill="1" applyBorder="1" applyAlignment="1">
      <alignment horizontal="right" vertical="center"/>
    </xf>
    <xf numFmtId="43" fontId="65" fillId="25" borderId="0" xfId="74" applyFont="1" applyFill="1" applyAlignment="1">
      <alignment horizontal="center" vertical="center"/>
    </xf>
    <xf numFmtId="44" fontId="86" fillId="0" borderId="0" xfId="0" applyNumberFormat="1" applyFont="1" applyAlignment="1">
      <alignment horizontal="center"/>
    </xf>
    <xf numFmtId="174" fontId="46" fillId="25" borderId="11" xfId="34" applyNumberFormat="1" applyFont="1" applyFill="1" applyBorder="1" applyAlignment="1">
      <alignment horizontal="center" vertical="center" shrinkToFit="1"/>
    </xf>
    <xf numFmtId="4" fontId="46" fillId="25" borderId="11" xfId="0" applyNumberFormat="1" applyFont="1" applyFill="1" applyBorder="1" applyAlignment="1">
      <alignment horizontal="center" vertical="center"/>
    </xf>
    <xf numFmtId="43" fontId="36" fillId="25" borderId="0" xfId="74" applyFont="1" applyFill="1" applyBorder="1" applyAlignment="1">
      <alignment horizontal="center" vertical="center"/>
    </xf>
    <xf numFmtId="188" fontId="36" fillId="38" borderId="11" xfId="33" applyNumberFormat="1" applyFont="1" applyFill="1" applyBorder="1" applyAlignment="1">
      <alignment horizontal="right" vertical="center"/>
    </xf>
    <xf numFmtId="43" fontId="67" fillId="0" borderId="0" xfId="74" applyFont="1" applyFill="1" applyBorder="1" applyAlignment="1">
      <alignment horizontal="center" vertical="center"/>
    </xf>
    <xf numFmtId="44" fontId="46" fillId="27" borderId="11" xfId="0" applyNumberFormat="1" applyFont="1" applyFill="1" applyBorder="1" applyAlignment="1">
      <alignment horizontal="center"/>
    </xf>
    <xf numFmtId="171" fontId="2" fillId="25" borderId="0" xfId="43" applyNumberFormat="1" applyFont="1" applyFill="1" applyBorder="1" applyAlignment="1">
      <alignment horizontal="center" vertical="center" wrapText="1"/>
    </xf>
    <xf numFmtId="174" fontId="45" fillId="32" borderId="11" xfId="34" applyNumberFormat="1" applyFont="1" applyFill="1" applyBorder="1" applyAlignment="1">
      <alignment horizontal="center" vertical="center" shrinkToFit="1"/>
    </xf>
    <xf numFmtId="43" fontId="38" fillId="35" borderId="0" xfId="74" applyFont="1" applyFill="1" applyAlignment="1">
      <alignment horizontal="center" vertical="center" wrapText="1"/>
    </xf>
    <xf numFmtId="43" fontId="46" fillId="38" borderId="0" xfId="0" applyNumberFormat="1" applyFont="1" applyFill="1" applyAlignment="1">
      <alignment horizontal="left"/>
    </xf>
    <xf numFmtId="7" fontId="46" fillId="38" borderId="0" xfId="0" applyNumberFormat="1" applyFont="1" applyFill="1" applyAlignment="1">
      <alignment horizontal="center"/>
    </xf>
    <xf numFmtId="44" fontId="46" fillId="38" borderId="0" xfId="0" applyNumberFormat="1" applyFont="1" applyFill="1" applyAlignment="1">
      <alignment horizontal="center"/>
    </xf>
    <xf numFmtId="44" fontId="36" fillId="25" borderId="11" xfId="0" applyNumberFormat="1" applyFont="1" applyFill="1" applyBorder="1" applyAlignment="1">
      <alignment horizontal="right"/>
    </xf>
    <xf numFmtId="0" fontId="41" fillId="25" borderId="11" xfId="0" applyFont="1" applyFill="1" applyBorder="1" applyAlignment="1">
      <alignment horizontal="center"/>
    </xf>
    <xf numFmtId="171" fontId="45" fillId="26" borderId="0" xfId="43" applyNumberFormat="1" applyFont="1" applyFill="1" applyBorder="1" applyAlignment="1">
      <alignment horizontal="left" vertical="center" wrapText="1"/>
    </xf>
    <xf numFmtId="174" fontId="46" fillId="38" borderId="11" xfId="34" applyNumberFormat="1" applyFont="1" applyFill="1" applyBorder="1" applyAlignment="1">
      <alignment horizontal="center" vertical="center" shrinkToFit="1"/>
    </xf>
    <xf numFmtId="43" fontId="34" fillId="26" borderId="12" xfId="74" applyFont="1" applyFill="1" applyBorder="1" applyAlignment="1">
      <alignment horizontal="center" vertical="center" wrapText="1"/>
    </xf>
    <xf numFmtId="43" fontId="34" fillId="26" borderId="13" xfId="74" applyFont="1" applyFill="1" applyBorder="1" applyAlignment="1">
      <alignment horizontal="center" vertical="center" wrapText="1"/>
    </xf>
    <xf numFmtId="7" fontId="36" fillId="25" borderId="12" xfId="33" applyNumberFormat="1" applyFont="1" applyFill="1" applyBorder="1" applyAlignment="1">
      <alignment horizontal="center" vertical="center"/>
    </xf>
    <xf numFmtId="7" fontId="36" fillId="25" borderId="13" xfId="33" applyNumberFormat="1" applyFont="1" applyFill="1" applyBorder="1" applyAlignment="1">
      <alignment horizontal="center" vertical="center"/>
    </xf>
    <xf numFmtId="7" fontId="34" fillId="25" borderId="12" xfId="33" applyNumberFormat="1" applyFont="1" applyFill="1" applyBorder="1" applyAlignment="1">
      <alignment horizontal="center" vertical="center"/>
    </xf>
    <xf numFmtId="7" fontId="34" fillId="25" borderId="13" xfId="33" applyNumberFormat="1" applyFont="1" applyFill="1" applyBorder="1" applyAlignment="1">
      <alignment horizontal="center" vertical="center"/>
    </xf>
    <xf numFmtId="7" fontId="41" fillId="26" borderId="11" xfId="0" applyNumberFormat="1" applyFont="1" applyFill="1" applyBorder="1" applyAlignment="1">
      <alignment horizontal="center"/>
    </xf>
    <xf numFmtId="4" fontId="46" fillId="38" borderId="11" xfId="0" applyNumberFormat="1" applyFont="1" applyFill="1" applyBorder="1" applyAlignment="1">
      <alignment horizontal="left" vertical="center"/>
    </xf>
    <xf numFmtId="0" fontId="85" fillId="38" borderId="11" xfId="0" applyFont="1" applyFill="1" applyBorder="1" applyAlignment="1">
      <alignment horizontal="left" vertical="center"/>
    </xf>
    <xf numFmtId="166" fontId="46" fillId="38" borderId="11" xfId="34" applyFont="1" applyFill="1" applyBorder="1" applyAlignment="1">
      <alignment horizontal="center" vertical="center" shrinkToFit="1"/>
    </xf>
    <xf numFmtId="174" fontId="41" fillId="38" borderId="11" xfId="33" applyNumberFormat="1" applyFont="1" applyFill="1" applyBorder="1" applyAlignment="1">
      <alignment horizontal="center"/>
    </xf>
    <xf numFmtId="43" fontId="46" fillId="38" borderId="11" xfId="0" applyNumberFormat="1" applyFont="1" applyFill="1" applyBorder="1" applyAlignment="1">
      <alignment horizontal="center"/>
    </xf>
    <xf numFmtId="7" fontId="49" fillId="25" borderId="11" xfId="0" applyNumberFormat="1" applyFont="1" applyFill="1" applyBorder="1" applyAlignment="1">
      <alignment horizontal="center"/>
    </xf>
    <xf numFmtId="180" fontId="43" fillId="26" borderId="0" xfId="48" applyNumberFormat="1" applyFont="1" applyFill="1" applyBorder="1" applyAlignment="1">
      <alignment horizontal="center" vertical="center"/>
    </xf>
    <xf numFmtId="180" fontId="43" fillId="26" borderId="5" xfId="48" applyNumberFormat="1" applyFont="1" applyFill="1" applyBorder="1" applyAlignment="1">
      <alignment horizontal="center" vertical="center"/>
    </xf>
    <xf numFmtId="181" fontId="67" fillId="26" borderId="0" xfId="48" applyNumberFormat="1" applyFont="1" applyFill="1" applyBorder="1" applyAlignment="1">
      <alignment horizontal="center" vertical="center"/>
    </xf>
    <xf numFmtId="181" fontId="67" fillId="26" borderId="5" xfId="48" applyNumberFormat="1" applyFont="1" applyFill="1" applyBorder="1" applyAlignment="1">
      <alignment horizontal="center" vertical="center"/>
    </xf>
    <xf numFmtId="180" fontId="43" fillId="26" borderId="15" xfId="48" applyNumberFormat="1" applyFont="1" applyFill="1" applyBorder="1" applyAlignment="1">
      <alignment horizontal="center" vertical="center"/>
    </xf>
    <xf numFmtId="180" fontId="43" fillId="26" borderId="40" xfId="48" applyNumberFormat="1" applyFont="1" applyFill="1" applyBorder="1" applyAlignment="1">
      <alignment horizontal="center" vertical="center"/>
    </xf>
    <xf numFmtId="43" fontId="37" fillId="35" borderId="15" xfId="74" applyFont="1" applyFill="1" applyBorder="1" applyAlignment="1">
      <alignment horizontal="center" vertical="center"/>
    </xf>
    <xf numFmtId="43" fontId="37" fillId="35" borderId="18" xfId="74" applyFont="1" applyFill="1" applyBorder="1" applyAlignment="1">
      <alignment horizontal="center" vertical="center"/>
    </xf>
    <xf numFmtId="43" fontId="37" fillId="35" borderId="12" xfId="74" applyFont="1" applyFill="1" applyBorder="1" applyAlignment="1">
      <alignment horizontal="center" vertical="center"/>
    </xf>
    <xf numFmtId="43" fontId="37" fillId="35" borderId="13" xfId="74" applyFont="1" applyFill="1" applyBorder="1" applyAlignment="1">
      <alignment horizontal="center" vertical="center"/>
    </xf>
    <xf numFmtId="43" fontId="56" fillId="25" borderId="12" xfId="74" applyFont="1" applyFill="1" applyBorder="1" applyAlignment="1">
      <alignment horizontal="center" vertical="center"/>
    </xf>
    <xf numFmtId="43" fontId="56" fillId="25" borderId="13" xfId="74" applyFont="1" applyFill="1" applyBorder="1" applyAlignment="1">
      <alignment horizontal="center" vertical="center"/>
    </xf>
    <xf numFmtId="9" fontId="56" fillId="25" borderId="12" xfId="74" applyNumberFormat="1" applyFont="1" applyFill="1" applyBorder="1" applyAlignment="1">
      <alignment horizontal="right" vertical="center"/>
    </xf>
    <xf numFmtId="7" fontId="56" fillId="25" borderId="12" xfId="74" applyNumberFormat="1" applyFont="1" applyFill="1" applyBorder="1" applyAlignment="1">
      <alignment horizontal="center" vertical="center"/>
    </xf>
    <xf numFmtId="7" fontId="56" fillId="25" borderId="13" xfId="74" applyNumberFormat="1" applyFont="1" applyFill="1" applyBorder="1" applyAlignment="1">
      <alignment horizontal="center" vertical="center"/>
    </xf>
    <xf numFmtId="43" fontId="56" fillId="25" borderId="12" xfId="74" applyFont="1" applyFill="1" applyBorder="1" applyAlignment="1">
      <alignment horizontal="center" vertical="center" wrapText="1"/>
    </xf>
    <xf numFmtId="43" fontId="56" fillId="25" borderId="13" xfId="74" applyFont="1" applyFill="1" applyBorder="1" applyAlignment="1">
      <alignment horizontal="center" vertical="center" wrapText="1"/>
    </xf>
    <xf numFmtId="43" fontId="36" fillId="0" borderId="11" xfId="74" applyFont="1" applyBorder="1" applyAlignment="1">
      <alignment horizontal="left" vertical="center"/>
    </xf>
    <xf numFmtId="4" fontId="45" fillId="26" borderId="17" xfId="0" applyNumberFormat="1" applyFont="1" applyFill="1" applyBorder="1" applyAlignment="1">
      <alignment horizontal="center" vertical="center"/>
    </xf>
    <xf numFmtId="4" fontId="45" fillId="26" borderId="19" xfId="0" applyNumberFormat="1" applyFont="1" applyFill="1" applyBorder="1" applyAlignment="1">
      <alignment horizontal="center" vertical="center"/>
    </xf>
    <xf numFmtId="4" fontId="45" fillId="26" borderId="20" xfId="0" applyNumberFormat="1" applyFont="1" applyFill="1" applyBorder="1" applyAlignment="1">
      <alignment horizontal="center" vertical="center"/>
    </xf>
    <xf numFmtId="7" fontId="42" fillId="25" borderId="11" xfId="0" applyNumberFormat="1" applyFont="1" applyFill="1" applyBorder="1" applyAlignment="1">
      <alignment horizontal="center"/>
    </xf>
    <xf numFmtId="7" fontId="42" fillId="25" borderId="26" xfId="0" applyNumberFormat="1" applyFont="1" applyFill="1" applyBorder="1" applyAlignment="1">
      <alignment horizontal="center"/>
    </xf>
    <xf numFmtId="7" fontId="42" fillId="25" borderId="28" xfId="0" applyNumberFormat="1" applyFont="1" applyFill="1" applyBorder="1" applyAlignment="1">
      <alignment horizontal="center"/>
    </xf>
    <xf numFmtId="7" fontId="42" fillId="25" borderId="29" xfId="0" applyNumberFormat="1" applyFont="1" applyFill="1" applyBorder="1" applyAlignment="1">
      <alignment horizontal="center"/>
    </xf>
    <xf numFmtId="0" fontId="42" fillId="25" borderId="25" xfId="0" applyFont="1" applyFill="1" applyBorder="1" applyAlignment="1">
      <alignment horizontal="left"/>
    </xf>
    <xf numFmtId="0" fontId="42" fillId="25" borderId="11" xfId="0" applyFont="1" applyFill="1" applyBorder="1" applyAlignment="1">
      <alignment horizontal="left"/>
    </xf>
    <xf numFmtId="0" fontId="42" fillId="25" borderId="27" xfId="0" applyFont="1" applyFill="1" applyBorder="1" applyAlignment="1">
      <alignment horizontal="left" vertical="center"/>
    </xf>
    <xf numFmtId="0" fontId="42" fillId="25" borderId="28" xfId="0" applyFont="1" applyFill="1" applyBorder="1" applyAlignment="1">
      <alignment horizontal="left" vertical="center"/>
    </xf>
    <xf numFmtId="10" fontId="42" fillId="25" borderId="11" xfId="0" applyNumberFormat="1" applyFont="1" applyFill="1" applyBorder="1" applyAlignment="1">
      <alignment horizontal="center"/>
    </xf>
    <xf numFmtId="49" fontId="2" fillId="25" borderId="12" xfId="43" applyNumberFormat="1" applyFont="1" applyFill="1" applyBorder="1" applyAlignment="1">
      <alignment horizontal="center" vertical="center"/>
    </xf>
    <xf numFmtId="49" fontId="2" fillId="25" borderId="18" xfId="43" applyNumberFormat="1" applyFont="1" applyFill="1" applyBorder="1" applyAlignment="1">
      <alignment horizontal="center" vertical="center"/>
    </xf>
    <xf numFmtId="49" fontId="2" fillId="25" borderId="13" xfId="43" applyNumberFormat="1" applyFont="1" applyFill="1" applyBorder="1" applyAlignment="1">
      <alignment horizontal="center" vertical="center"/>
    </xf>
    <xf numFmtId="43" fontId="37" fillId="26" borderId="11" xfId="74" applyFont="1" applyFill="1" applyBorder="1" applyAlignment="1">
      <alignment horizontal="center" vertical="center"/>
    </xf>
    <xf numFmtId="179" fontId="73" fillId="26" borderId="11" xfId="43" applyNumberFormat="1" applyFont="1" applyFill="1" applyBorder="1" applyAlignment="1">
      <alignment horizontal="left" vertical="center" wrapText="1"/>
    </xf>
    <xf numFmtId="185" fontId="29" fillId="26" borderId="11" xfId="43" applyNumberFormat="1" applyFont="1" applyFill="1" applyBorder="1" applyAlignment="1">
      <alignment horizontal="left" vertical="center" wrapText="1"/>
    </xf>
    <xf numFmtId="179" fontId="29" fillId="26" borderId="11" xfId="43" applyNumberFormat="1" applyFont="1" applyFill="1" applyBorder="1" applyAlignment="1">
      <alignment horizontal="left" vertical="center" wrapText="1"/>
    </xf>
    <xf numFmtId="7" fontId="42" fillId="25" borderId="33" xfId="0" applyNumberFormat="1" applyFont="1" applyFill="1" applyBorder="1" applyAlignment="1">
      <alignment horizontal="center"/>
    </xf>
    <xf numFmtId="7" fontId="42" fillId="25" borderId="38" xfId="0" applyNumberFormat="1" applyFont="1" applyFill="1" applyBorder="1" applyAlignment="1">
      <alignment horizontal="center"/>
    </xf>
    <xf numFmtId="186" fontId="29" fillId="26" borderId="11" xfId="43" applyNumberFormat="1" applyFont="1" applyFill="1" applyBorder="1" applyAlignment="1">
      <alignment horizontal="left" vertical="center" wrapText="1"/>
    </xf>
    <xf numFmtId="187" fontId="29" fillId="26" borderId="11" xfId="43" applyNumberFormat="1" applyFont="1" applyFill="1" applyBorder="1" applyAlignment="1">
      <alignment horizontal="left" vertical="center" wrapText="1"/>
    </xf>
    <xf numFmtId="43" fontId="87" fillId="33" borderId="0" xfId="74" applyFont="1" applyFill="1" applyAlignment="1">
      <alignment horizontal="center" vertical="center" wrapText="1"/>
    </xf>
    <xf numFmtId="0" fontId="49" fillId="25" borderId="12" xfId="0" applyFont="1" applyFill="1" applyBorder="1" applyAlignment="1">
      <alignment horizontal="left"/>
    </xf>
    <xf numFmtId="0" fontId="49" fillId="25" borderId="18" xfId="0" applyFont="1" applyFill="1" applyBorder="1" applyAlignment="1">
      <alignment horizontal="left"/>
    </xf>
    <xf numFmtId="0" fontId="49" fillId="25" borderId="13" xfId="0" applyFont="1" applyFill="1" applyBorder="1" applyAlignment="1">
      <alignment horizontal="left"/>
    </xf>
    <xf numFmtId="43" fontId="38" fillId="38" borderId="14" xfId="74" applyFont="1" applyFill="1" applyBorder="1" applyAlignment="1">
      <alignment horizontal="center" vertical="center"/>
    </xf>
    <xf numFmtId="43" fontId="38" fillId="38" borderId="0" xfId="74" applyFont="1" applyFill="1" applyBorder="1" applyAlignment="1">
      <alignment horizontal="center" vertical="center"/>
    </xf>
    <xf numFmtId="174" fontId="36" fillId="25" borderId="11" xfId="0" applyNumberFormat="1" applyFont="1" applyFill="1" applyBorder="1" applyAlignment="1">
      <alignment horizontal="center"/>
    </xf>
    <xf numFmtId="7" fontId="36" fillId="25" borderId="12" xfId="0" applyNumberFormat="1" applyFont="1" applyFill="1" applyBorder="1" applyAlignment="1">
      <alignment horizontal="center"/>
    </xf>
    <xf numFmtId="7" fontId="36" fillId="25" borderId="13" xfId="0" applyNumberFormat="1" applyFont="1" applyFill="1" applyBorder="1" applyAlignment="1">
      <alignment horizontal="center"/>
    </xf>
    <xf numFmtId="0" fontId="34" fillId="25" borderId="11" xfId="0" applyFont="1" applyFill="1" applyBorder="1" applyAlignment="1">
      <alignment horizontal="center" vertical="center"/>
    </xf>
    <xf numFmtId="0" fontId="34" fillId="25" borderId="12" xfId="0" applyFont="1" applyFill="1" applyBorder="1" applyAlignment="1">
      <alignment horizontal="center"/>
    </xf>
    <xf numFmtId="0" fontId="34" fillId="25" borderId="13" xfId="0" applyFont="1" applyFill="1" applyBorder="1" applyAlignment="1">
      <alignment horizontal="center"/>
    </xf>
    <xf numFmtId="0" fontId="49" fillId="25" borderId="11" xfId="0" applyFont="1" applyFill="1" applyBorder="1" applyAlignment="1">
      <alignment horizontal="center"/>
    </xf>
    <xf numFmtId="0" fontId="49" fillId="25" borderId="11" xfId="0" applyFont="1" applyFill="1" applyBorder="1" applyAlignment="1">
      <alignment horizontal="left"/>
    </xf>
    <xf numFmtId="44" fontId="81" fillId="0" borderId="0" xfId="0" applyNumberFormat="1" applyFont="1" applyAlignment="1">
      <alignment horizontal="center"/>
    </xf>
    <xf numFmtId="4" fontId="42" fillId="0" borderId="11" xfId="44" applyNumberFormat="1" applyFont="1" applyBorder="1" applyAlignment="1">
      <alignment horizontal="center" vertical="center"/>
    </xf>
    <xf numFmtId="174" fontId="29" fillId="0" borderId="11" xfId="33" applyNumberFormat="1" applyFont="1" applyBorder="1" applyAlignment="1">
      <alignment horizontal="center" vertical="center"/>
    </xf>
    <xf numFmtId="43" fontId="38" fillId="25" borderId="14" xfId="74" applyFont="1" applyFill="1" applyBorder="1" applyAlignment="1">
      <alignment horizontal="center" vertical="center"/>
    </xf>
    <xf numFmtId="43" fontId="38" fillId="25" borderId="0" xfId="74" applyFont="1" applyFill="1" applyBorder="1" applyAlignment="1">
      <alignment horizontal="center" vertical="center"/>
    </xf>
    <xf numFmtId="0" fontId="29" fillId="0" borderId="11" xfId="0" applyFont="1" applyBorder="1" applyAlignment="1">
      <alignment horizontal="center" vertical="center"/>
    </xf>
    <xf numFmtId="0" fontId="37" fillId="0" borderId="11" xfId="0" applyFont="1" applyBorder="1" applyAlignment="1">
      <alignment horizontal="center" vertical="center"/>
    </xf>
    <xf numFmtId="0" fontId="42" fillId="0" borderId="11" xfId="44" applyFont="1" applyBorder="1" applyAlignment="1">
      <alignment horizontal="center" vertical="center"/>
    </xf>
    <xf numFmtId="44" fontId="29" fillId="25" borderId="11" xfId="33" applyFont="1" applyFill="1" applyBorder="1" applyAlignment="1">
      <alignment horizontal="center" vertical="center"/>
    </xf>
    <xf numFmtId="4" fontId="42" fillId="0" borderId="11" xfId="44" applyNumberFormat="1" applyFont="1" applyBorder="1" applyAlignment="1">
      <alignment horizontal="center" vertical="center" wrapText="1"/>
    </xf>
    <xf numFmtId="7" fontId="41" fillId="25" borderId="28" xfId="0" applyNumberFormat="1" applyFont="1" applyFill="1" applyBorder="1" applyAlignment="1">
      <alignment horizontal="center"/>
    </xf>
    <xf numFmtId="7" fontId="41" fillId="25" borderId="29" xfId="0" applyNumberFormat="1" applyFont="1" applyFill="1" applyBorder="1" applyAlignment="1">
      <alignment horizontal="center"/>
    </xf>
    <xf numFmtId="0" fontId="41" fillId="25" borderId="27" xfId="0" applyFont="1" applyFill="1" applyBorder="1" applyAlignment="1">
      <alignment horizontal="left"/>
    </xf>
    <xf numFmtId="0" fontId="41" fillId="25" borderId="28" xfId="0" applyFont="1" applyFill="1" applyBorder="1" applyAlignment="1">
      <alignment horizontal="left"/>
    </xf>
    <xf numFmtId="43" fontId="72" fillId="39" borderId="0" xfId="74" applyFont="1" applyFill="1" applyAlignment="1">
      <alignment horizontal="center" vertical="top" wrapText="1"/>
    </xf>
    <xf numFmtId="0" fontId="45" fillId="0" borderId="25" xfId="0" applyFont="1" applyBorder="1" applyAlignment="1">
      <alignment horizontal="center"/>
    </xf>
    <xf numFmtId="0" fontId="45" fillId="0" borderId="11" xfId="0" applyFont="1" applyBorder="1" applyAlignment="1">
      <alignment horizontal="center"/>
    </xf>
    <xf numFmtId="0" fontId="45" fillId="0" borderId="26" xfId="0" applyFont="1" applyBorder="1" applyAlignment="1">
      <alignment horizontal="center"/>
    </xf>
    <xf numFmtId="0" fontId="45" fillId="0" borderId="49" xfId="0" applyFont="1" applyBorder="1" applyAlignment="1">
      <alignment horizontal="center" vertical="center"/>
    </xf>
    <xf numFmtId="0" fontId="45" fillId="0" borderId="50" xfId="0" applyFont="1" applyBorder="1" applyAlignment="1">
      <alignment horizontal="center" vertical="center"/>
    </xf>
    <xf numFmtId="0" fontId="45" fillId="0" borderId="51" xfId="0" applyFont="1" applyBorder="1" applyAlignment="1">
      <alignment horizontal="center" vertical="center"/>
    </xf>
    <xf numFmtId="0" fontId="43" fillId="0" borderId="36" xfId="0" applyFont="1" applyBorder="1" applyAlignment="1">
      <alignment horizontal="center"/>
    </xf>
    <xf numFmtId="0" fontId="43" fillId="0" borderId="18" xfId="0" applyFont="1" applyBorder="1" applyAlignment="1">
      <alignment horizontal="center"/>
    </xf>
    <xf numFmtId="0" fontId="43" fillId="0" borderId="52" xfId="0" applyFont="1" applyBorder="1" applyAlignment="1">
      <alignment horizontal="center"/>
    </xf>
    <xf numFmtId="0" fontId="88" fillId="39" borderId="14" xfId="0" applyFont="1" applyFill="1" applyBorder="1" applyAlignment="1">
      <alignment horizontal="center" vertical="center"/>
    </xf>
    <xf numFmtId="0" fontId="88" fillId="39" borderId="0" xfId="0" applyFont="1" applyFill="1" applyBorder="1" applyAlignment="1">
      <alignment horizontal="center" vertical="center"/>
    </xf>
    <xf numFmtId="0" fontId="88" fillId="39" borderId="5" xfId="0" applyFont="1" applyFill="1" applyBorder="1" applyAlignment="1">
      <alignment horizontal="center" vertical="center"/>
    </xf>
    <xf numFmtId="0" fontId="89" fillId="25" borderId="0" xfId="0" applyFont="1" applyFill="1" applyBorder="1" applyAlignment="1">
      <alignment horizontal="left" vertical="top"/>
    </xf>
    <xf numFmtId="169" fontId="89" fillId="25" borderId="0" xfId="0" applyNumberFormat="1" applyFont="1" applyFill="1" applyBorder="1" applyAlignment="1">
      <alignment horizontal="right" vertical="top"/>
    </xf>
    <xf numFmtId="0" fontId="90" fillId="0" borderId="16" xfId="0" applyFont="1" applyFill="1" applyBorder="1" applyAlignment="1">
      <alignment horizontal="left" vertical="top"/>
    </xf>
    <xf numFmtId="0" fontId="90" fillId="0" borderId="15" xfId="0" applyFont="1" applyFill="1" applyBorder="1" applyAlignment="1">
      <alignment horizontal="left" vertical="top"/>
    </xf>
    <xf numFmtId="0" fontId="90" fillId="0" borderId="40" xfId="0" applyFont="1" applyFill="1" applyBorder="1" applyAlignment="1">
      <alignment horizontal="left" vertical="top"/>
    </xf>
    <xf numFmtId="0" fontId="90" fillId="25" borderId="11" xfId="0" applyFont="1" applyFill="1" applyBorder="1" applyAlignment="1">
      <alignment horizontal="center" vertical="center"/>
    </xf>
    <xf numFmtId="10" fontId="90" fillId="25" borderId="11" xfId="55" applyNumberFormat="1" applyFont="1" applyFill="1" applyBorder="1" applyAlignment="1">
      <alignment horizontal="center" vertical="center"/>
    </xf>
    <xf numFmtId="0" fontId="94" fillId="25" borderId="0" xfId="0" applyFont="1" applyFill="1" applyAlignment="1">
      <alignment horizontal="center"/>
    </xf>
    <xf numFmtId="0" fontId="76" fillId="0" borderId="15" xfId="0" applyFont="1" applyBorder="1" applyAlignment="1">
      <alignment horizontal="center"/>
    </xf>
    <xf numFmtId="0" fontId="76" fillId="25" borderId="0" xfId="0" applyFont="1" applyFill="1" applyAlignment="1">
      <alignment horizontal="center"/>
    </xf>
    <xf numFmtId="0" fontId="70" fillId="0" borderId="19" xfId="0" applyFont="1" applyBorder="1" applyAlignment="1">
      <alignment horizontal="left" wrapText="1"/>
    </xf>
    <xf numFmtId="0" fontId="70" fillId="0" borderId="0" xfId="0" applyFont="1" applyBorder="1" applyAlignment="1">
      <alignment horizontal="left" wrapText="1"/>
    </xf>
    <xf numFmtId="0" fontId="70" fillId="0" borderId="12" xfId="0" applyFont="1" applyBorder="1" applyAlignment="1">
      <alignment horizontal="center"/>
    </xf>
    <xf numFmtId="0" fontId="70" fillId="0" borderId="13" xfId="0" applyFont="1" applyBorder="1" applyAlignment="1">
      <alignment horizontal="center"/>
    </xf>
    <xf numFmtId="0" fontId="45" fillId="0" borderId="0" xfId="0" applyFont="1" applyFill="1" applyBorder="1" applyAlignment="1">
      <alignment horizontal="center" vertical="center" wrapText="1"/>
    </xf>
    <xf numFmtId="4" fontId="37" fillId="25" borderId="12" xfId="0" applyNumberFormat="1" applyFont="1" applyFill="1" applyBorder="1" applyAlignment="1">
      <alignment horizontal="center" vertical="center"/>
    </xf>
    <xf numFmtId="4" fontId="37" fillId="25" borderId="18" xfId="0" applyNumberFormat="1" applyFont="1" applyFill="1" applyBorder="1" applyAlignment="1">
      <alignment horizontal="center" vertical="center"/>
    </xf>
    <xf numFmtId="4" fontId="37" fillId="25" borderId="13" xfId="0" applyNumberFormat="1" applyFont="1" applyFill="1" applyBorder="1" applyAlignment="1">
      <alignment horizontal="center" vertical="center"/>
    </xf>
    <xf numFmtId="174" fontId="37" fillId="25" borderId="12" xfId="0" applyNumberFormat="1" applyFont="1" applyFill="1" applyBorder="1" applyAlignment="1">
      <alignment horizontal="center" vertical="center"/>
    </xf>
    <xf numFmtId="174" fontId="37" fillId="25" borderId="13" xfId="0" applyNumberFormat="1" applyFont="1" applyFill="1" applyBorder="1" applyAlignment="1">
      <alignment horizontal="center" vertical="center"/>
    </xf>
    <xf numFmtId="0" fontId="70" fillId="25" borderId="12" xfId="0" applyFont="1" applyFill="1" applyBorder="1" applyAlignment="1">
      <alignment horizontal="left"/>
    </xf>
    <xf numFmtId="0" fontId="0" fillId="0" borderId="18" xfId="0" applyBorder="1" applyAlignment="1">
      <alignment horizontal="left"/>
    </xf>
    <xf numFmtId="0" fontId="0" fillId="0" borderId="13" xfId="0" applyBorder="1" applyAlignment="1">
      <alignment horizontal="left"/>
    </xf>
    <xf numFmtId="7" fontId="70" fillId="0" borderId="11" xfId="33" applyNumberFormat="1" applyFont="1" applyBorder="1" applyAlignment="1">
      <alignment horizontal="center"/>
    </xf>
    <xf numFmtId="0" fontId="92" fillId="0" borderId="12" xfId="0" applyFont="1" applyBorder="1" applyAlignment="1">
      <alignment horizontal="left" vertical="center" wrapText="1"/>
    </xf>
    <xf numFmtId="0" fontId="92" fillId="0" borderId="18" xfId="0" applyFont="1" applyBorder="1" applyAlignment="1">
      <alignment horizontal="left" vertical="center" wrapText="1"/>
    </xf>
    <xf numFmtId="0" fontId="92" fillId="0" borderId="13" xfId="0" applyFont="1" applyBorder="1" applyAlignment="1">
      <alignment horizontal="left" vertical="center" wrapText="1"/>
    </xf>
    <xf numFmtId="0" fontId="45" fillId="0" borderId="17" xfId="0" applyFont="1" applyFill="1" applyBorder="1" applyAlignment="1">
      <alignment horizontal="center" vertical="center"/>
    </xf>
    <xf numFmtId="0" fontId="45" fillId="0" borderId="19" xfId="0" applyFont="1" applyFill="1" applyBorder="1" applyAlignment="1">
      <alignment horizontal="center" vertical="center"/>
    </xf>
    <xf numFmtId="0" fontId="45" fillId="0" borderId="20" xfId="0" applyFont="1" applyFill="1" applyBorder="1" applyAlignment="1">
      <alignment horizontal="center" vertical="center"/>
    </xf>
    <xf numFmtId="49" fontId="30" fillId="0" borderId="12" xfId="0" applyNumberFormat="1" applyFont="1" applyFill="1" applyBorder="1" applyAlignment="1" applyProtection="1">
      <alignment horizontal="left" vertical="center" wrapText="1" shrinkToFit="1"/>
    </xf>
    <xf numFmtId="49" fontId="30" fillId="0" borderId="18" xfId="0" applyNumberFormat="1" applyFont="1" applyFill="1" applyBorder="1" applyAlignment="1" applyProtection="1">
      <alignment horizontal="left" vertical="center" wrapText="1" shrinkToFit="1"/>
    </xf>
    <xf numFmtId="49" fontId="30" fillId="0" borderId="13" xfId="0" applyNumberFormat="1" applyFont="1" applyFill="1" applyBorder="1" applyAlignment="1" applyProtection="1">
      <alignment horizontal="left" vertical="center" wrapText="1" shrinkToFit="1"/>
    </xf>
    <xf numFmtId="0" fontId="70" fillId="0" borderId="12" xfId="0" applyFont="1" applyBorder="1" applyAlignment="1">
      <alignment horizontal="left"/>
    </xf>
    <xf numFmtId="0" fontId="70" fillId="0" borderId="18" xfId="0" applyFont="1" applyBorder="1" applyAlignment="1">
      <alignment horizontal="left"/>
    </xf>
    <xf numFmtId="0" fontId="70" fillId="0" borderId="13" xfId="0" applyFont="1" applyBorder="1" applyAlignment="1">
      <alignment horizontal="left"/>
    </xf>
    <xf numFmtId="0" fontId="36" fillId="25" borderId="11" xfId="0" applyFont="1" applyFill="1" applyBorder="1" applyAlignment="1">
      <alignment horizontal="center" vertical="center"/>
    </xf>
    <xf numFmtId="0" fontId="36" fillId="25" borderId="11" xfId="0" applyFont="1" applyFill="1" applyBorder="1" applyAlignment="1">
      <alignment horizontal="center" wrapText="1"/>
    </xf>
    <xf numFmtId="7" fontId="70" fillId="0" borderId="11" xfId="33" applyNumberFormat="1" applyFont="1" applyBorder="1" applyAlignment="1">
      <alignment horizontal="center" vertical="center"/>
    </xf>
    <xf numFmtId="0" fontId="70" fillId="0" borderId="12" xfId="0" applyFont="1" applyBorder="1" applyAlignment="1">
      <alignment horizontal="left" vertical="center"/>
    </xf>
    <xf numFmtId="0" fontId="70" fillId="0" borderId="18" xfId="0" applyFont="1" applyBorder="1" applyAlignment="1">
      <alignment horizontal="left" vertical="center"/>
    </xf>
    <xf numFmtId="0" fontId="70" fillId="0" borderId="13" xfId="0" applyFont="1" applyBorder="1" applyAlignment="1">
      <alignment horizontal="left" vertical="center"/>
    </xf>
    <xf numFmtId="0" fontId="36" fillId="25" borderId="11" xfId="0" applyFont="1" applyFill="1" applyBorder="1" applyAlignment="1">
      <alignment horizontal="center" vertical="center" wrapText="1"/>
    </xf>
    <xf numFmtId="0" fontId="70" fillId="0" borderId="11" xfId="0" applyFont="1" applyBorder="1" applyAlignment="1">
      <alignment horizontal="center" vertical="center"/>
    </xf>
    <xf numFmtId="0" fontId="92" fillId="0" borderId="11" xfId="0" applyFont="1" applyBorder="1" applyAlignment="1">
      <alignment horizontal="left" vertical="center" wrapText="1"/>
    </xf>
    <xf numFmtId="49" fontId="30" fillId="0" borderId="11" xfId="0" applyNumberFormat="1" applyFont="1" applyFill="1" applyBorder="1" applyAlignment="1" applyProtection="1">
      <alignment horizontal="left" vertical="center" wrapText="1" shrinkToFit="1"/>
    </xf>
    <xf numFmtId="7" fontId="70" fillId="0" borderId="12" xfId="33" applyNumberFormat="1" applyFont="1" applyBorder="1" applyAlignment="1">
      <alignment horizontal="center" vertical="center"/>
    </xf>
    <xf numFmtId="7" fontId="70" fillId="0" borderId="13" xfId="33" applyNumberFormat="1" applyFont="1" applyBorder="1" applyAlignment="1">
      <alignment horizontal="center" vertical="center"/>
    </xf>
    <xf numFmtId="4" fontId="37" fillId="25" borderId="11" xfId="0" applyNumberFormat="1" applyFont="1" applyFill="1" applyBorder="1" applyAlignment="1">
      <alignment horizontal="left" vertical="center"/>
    </xf>
    <xf numFmtId="4" fontId="37" fillId="25" borderId="11" xfId="0" applyNumberFormat="1" applyFont="1" applyFill="1" applyBorder="1" applyAlignment="1">
      <alignment horizontal="center" vertical="center"/>
    </xf>
    <xf numFmtId="7" fontId="76" fillId="0" borderId="12" xfId="33" applyNumberFormat="1" applyFont="1" applyBorder="1" applyAlignment="1">
      <alignment horizontal="center"/>
    </xf>
    <xf numFmtId="7" fontId="76" fillId="0" borderId="13" xfId="33" applyNumberFormat="1" applyFont="1" applyBorder="1" applyAlignment="1">
      <alignment horizontal="center"/>
    </xf>
    <xf numFmtId="0" fontId="36" fillId="25" borderId="17" xfId="0" applyFont="1" applyFill="1" applyBorder="1" applyAlignment="1">
      <alignment horizontal="left" vertical="center" wrapText="1"/>
    </xf>
    <xf numFmtId="0" fontId="36" fillId="25" borderId="19" xfId="0" applyFont="1" applyFill="1" applyBorder="1" applyAlignment="1">
      <alignment horizontal="left" vertical="center" wrapText="1"/>
    </xf>
    <xf numFmtId="0" fontId="36" fillId="25" borderId="20" xfId="0" applyFont="1" applyFill="1" applyBorder="1" applyAlignment="1">
      <alignment horizontal="left" vertical="center" wrapText="1"/>
    </xf>
    <xf numFmtId="0" fontId="36" fillId="25" borderId="16" xfId="0" applyFont="1" applyFill="1" applyBorder="1" applyAlignment="1">
      <alignment horizontal="left" vertical="center" wrapText="1"/>
    </xf>
    <xf numFmtId="0" fontId="36" fillId="25" borderId="15" xfId="0" applyFont="1" applyFill="1" applyBorder="1" applyAlignment="1">
      <alignment horizontal="left" vertical="center" wrapText="1"/>
    </xf>
    <xf numFmtId="0" fontId="36" fillId="25" borderId="40" xfId="0" applyFont="1" applyFill="1" applyBorder="1" applyAlignment="1">
      <alignment horizontal="left" vertical="center" wrapText="1"/>
    </xf>
    <xf numFmtId="7" fontId="34" fillId="25" borderId="11" xfId="0" applyNumberFormat="1" applyFont="1" applyFill="1" applyBorder="1" applyAlignment="1">
      <alignment horizontal="center" vertical="center"/>
    </xf>
    <xf numFmtId="0" fontId="36" fillId="25" borderId="11" xfId="0" applyFont="1" applyFill="1" applyBorder="1" applyAlignment="1">
      <alignment horizontal="left" vertical="center"/>
    </xf>
    <xf numFmtId="0" fontId="76" fillId="0" borderId="12" xfId="0" applyFont="1" applyBorder="1" applyAlignment="1">
      <alignment horizontal="right"/>
    </xf>
    <xf numFmtId="0" fontId="76" fillId="0" borderId="18" xfId="0" applyFont="1" applyBorder="1" applyAlignment="1">
      <alignment horizontal="right"/>
    </xf>
    <xf numFmtId="0" fontId="76" fillId="0" borderId="13" xfId="0" applyFont="1" applyBorder="1" applyAlignment="1">
      <alignment horizontal="right"/>
    </xf>
    <xf numFmtId="0" fontId="76" fillId="29" borderId="0" xfId="0" applyFont="1" applyFill="1" applyAlignment="1">
      <alignment horizontal="left"/>
    </xf>
    <xf numFmtId="0" fontId="36" fillId="25" borderId="14" xfId="0" applyFont="1" applyFill="1" applyBorder="1" applyAlignment="1">
      <alignment horizontal="left" vertical="center" wrapText="1"/>
    </xf>
    <xf numFmtId="0" fontId="36" fillId="25" borderId="0" xfId="0" applyFont="1" applyFill="1" applyBorder="1" applyAlignment="1">
      <alignment horizontal="left" vertical="center" wrapText="1"/>
    </xf>
    <xf numFmtId="0" fontId="70" fillId="0" borderId="18" xfId="0" applyFont="1" applyBorder="1" applyAlignment="1">
      <alignment horizontal="center"/>
    </xf>
    <xf numFmtId="0" fontId="45" fillId="0" borderId="14" xfId="0" applyFont="1" applyFill="1" applyBorder="1" applyAlignment="1">
      <alignment horizontal="center" vertical="center"/>
    </xf>
    <xf numFmtId="0" fontId="45" fillId="0" borderId="0" xfId="0" applyFont="1" applyFill="1" applyBorder="1" applyAlignment="1">
      <alignment horizontal="center" vertical="center"/>
    </xf>
    <xf numFmtId="0" fontId="36" fillId="25" borderId="12" xfId="0" applyFont="1" applyFill="1" applyBorder="1" applyAlignment="1">
      <alignment horizontal="left" vertical="center" wrapText="1"/>
    </xf>
    <xf numFmtId="0" fontId="36" fillId="25" borderId="18" xfId="0" applyFont="1" applyFill="1" applyBorder="1" applyAlignment="1">
      <alignment horizontal="left" vertical="center" wrapText="1"/>
    </xf>
    <xf numFmtId="0" fontId="36" fillId="25" borderId="13" xfId="0" applyFont="1" applyFill="1" applyBorder="1" applyAlignment="1">
      <alignment horizontal="left" vertical="center" wrapText="1"/>
    </xf>
    <xf numFmtId="0" fontId="70" fillId="0" borderId="11" xfId="0" applyFont="1" applyBorder="1" applyAlignment="1">
      <alignment vertical="center" wrapText="1"/>
    </xf>
    <xf numFmtId="43" fontId="70" fillId="0" borderId="11" xfId="0" applyNumberFormat="1" applyFont="1" applyBorder="1" applyAlignment="1">
      <alignment vertical="center" wrapText="1"/>
    </xf>
    <xf numFmtId="0" fontId="70" fillId="25" borderId="41" xfId="0" applyFont="1" applyFill="1" applyBorder="1" applyAlignment="1">
      <alignment horizontal="left" wrapText="1"/>
    </xf>
    <xf numFmtId="0" fontId="70" fillId="25" borderId="42" xfId="0" applyFont="1" applyFill="1" applyBorder="1" applyAlignment="1">
      <alignment horizontal="left" wrapText="1"/>
    </xf>
    <xf numFmtId="0" fontId="70" fillId="25" borderId="60" xfId="0" applyFont="1" applyFill="1" applyBorder="1" applyAlignment="1">
      <alignment horizontal="left" wrapText="1"/>
    </xf>
    <xf numFmtId="7" fontId="70" fillId="0" borderId="33" xfId="33" applyNumberFormat="1" applyFont="1" applyBorder="1" applyAlignment="1">
      <alignment horizontal="center"/>
    </xf>
    <xf numFmtId="0" fontId="45" fillId="0" borderId="11" xfId="0" applyFont="1" applyFill="1" applyBorder="1" applyAlignment="1">
      <alignment horizontal="center" vertical="center"/>
    </xf>
    <xf numFmtId="4" fontId="37" fillId="25" borderId="32" xfId="0" applyNumberFormat="1" applyFont="1" applyFill="1" applyBorder="1" applyAlignment="1">
      <alignment horizontal="left" vertical="center"/>
    </xf>
    <xf numFmtId="0" fontId="76" fillId="0" borderId="0" xfId="0" applyFont="1" applyBorder="1" applyAlignment="1">
      <alignment horizontal="center"/>
    </xf>
    <xf numFmtId="0" fontId="45" fillId="0" borderId="12" xfId="0" applyFont="1" applyFill="1" applyBorder="1" applyAlignment="1">
      <alignment horizontal="center" vertical="center"/>
    </xf>
    <xf numFmtId="0" fontId="45" fillId="0" borderId="18" xfId="0" applyFont="1" applyFill="1" applyBorder="1" applyAlignment="1">
      <alignment horizontal="center" vertical="center"/>
    </xf>
    <xf numFmtId="0" fontId="45" fillId="0" borderId="13" xfId="0" applyFont="1" applyFill="1" applyBorder="1" applyAlignment="1">
      <alignment horizontal="center" vertical="center"/>
    </xf>
    <xf numFmtId="4" fontId="37" fillId="25" borderId="17" xfId="0" applyNumberFormat="1" applyFont="1" applyFill="1" applyBorder="1" applyAlignment="1">
      <alignment horizontal="center" vertical="center"/>
    </xf>
    <xf numFmtId="4" fontId="37" fillId="25" borderId="19" xfId="0" applyNumberFormat="1" applyFont="1" applyFill="1" applyBorder="1" applyAlignment="1">
      <alignment horizontal="center" vertical="center"/>
    </xf>
    <xf numFmtId="4" fontId="37" fillId="25" borderId="20" xfId="0" applyNumberFormat="1" applyFont="1" applyFill="1" applyBorder="1" applyAlignment="1">
      <alignment horizontal="center" vertical="center"/>
    </xf>
    <xf numFmtId="7" fontId="29" fillId="25" borderId="12" xfId="34" applyNumberFormat="1" applyFont="1" applyFill="1" applyBorder="1" applyAlignment="1">
      <alignment horizontal="center" vertical="center"/>
    </xf>
    <xf numFmtId="7" fontId="29" fillId="25" borderId="13" xfId="34" applyNumberFormat="1" applyFont="1" applyFill="1" applyBorder="1" applyAlignment="1">
      <alignment horizontal="center" vertical="center"/>
    </xf>
    <xf numFmtId="4" fontId="37" fillId="25" borderId="5" xfId="0" applyNumberFormat="1" applyFont="1" applyFill="1" applyBorder="1" applyAlignment="1">
      <alignment horizontal="center" vertical="center"/>
    </xf>
    <xf numFmtId="4" fontId="37" fillId="25" borderId="32" xfId="0" applyNumberFormat="1" applyFont="1" applyFill="1" applyBorder="1" applyAlignment="1">
      <alignment horizontal="center" vertical="center"/>
    </xf>
    <xf numFmtId="0" fontId="34" fillId="0" borderId="53" xfId="0" applyFont="1" applyBorder="1" applyAlignment="1">
      <alignment horizontal="left" wrapText="1"/>
    </xf>
    <xf numFmtId="0" fontId="70" fillId="0" borderId="30" xfId="0" applyFont="1" applyBorder="1" applyAlignment="1">
      <alignment horizontal="left" wrapText="1"/>
    </xf>
    <xf numFmtId="0" fontId="70" fillId="0" borderId="54" xfId="0" applyFont="1" applyBorder="1" applyAlignment="1">
      <alignment horizontal="left" wrapText="1"/>
    </xf>
    <xf numFmtId="0" fontId="70" fillId="0" borderId="55" xfId="0" applyFont="1" applyBorder="1" applyAlignment="1">
      <alignment horizontal="left" wrapText="1"/>
    </xf>
    <xf numFmtId="0" fontId="70" fillId="0" borderId="34" xfId="0" applyFont="1" applyBorder="1" applyAlignment="1">
      <alignment horizontal="left" wrapText="1"/>
    </xf>
    <xf numFmtId="0" fontId="70" fillId="0" borderId="35" xfId="0" applyFont="1" applyBorder="1" applyAlignment="1">
      <alignment horizontal="left" wrapText="1"/>
    </xf>
    <xf numFmtId="7" fontId="70" fillId="0" borderId="12" xfId="33" applyNumberFormat="1" applyFont="1" applyBorder="1" applyAlignment="1">
      <alignment horizontal="center"/>
    </xf>
    <xf numFmtId="7" fontId="70" fillId="0" borderId="13" xfId="33" applyNumberFormat="1" applyFont="1" applyBorder="1" applyAlignment="1">
      <alignment horizontal="center"/>
    </xf>
    <xf numFmtId="7" fontId="70" fillId="25" borderId="12" xfId="33" applyNumberFormat="1" applyFont="1" applyFill="1" applyBorder="1" applyAlignment="1">
      <alignment horizontal="center"/>
    </xf>
    <xf numFmtId="7" fontId="70" fillId="25" borderId="13" xfId="33" applyNumberFormat="1" applyFont="1" applyFill="1" applyBorder="1" applyAlignment="1">
      <alignment horizontal="center"/>
    </xf>
    <xf numFmtId="0" fontId="70" fillId="25" borderId="56" xfId="0" applyFont="1" applyFill="1" applyBorder="1" applyAlignment="1">
      <alignment horizontal="left"/>
    </xf>
    <xf numFmtId="0" fontId="70" fillId="25" borderId="57" xfId="0" applyFont="1" applyFill="1" applyBorder="1" applyAlignment="1">
      <alignment horizontal="left"/>
    </xf>
    <xf numFmtId="0" fontId="70" fillId="25" borderId="58" xfId="0" applyFont="1" applyFill="1" applyBorder="1" applyAlignment="1">
      <alignment horizontal="left"/>
    </xf>
    <xf numFmtId="7" fontId="70" fillId="0" borderId="48" xfId="33" applyNumberFormat="1" applyFont="1" applyBorder="1" applyAlignment="1">
      <alignment horizontal="center"/>
    </xf>
    <xf numFmtId="7" fontId="70" fillId="0" borderId="61" xfId="33" applyNumberFormat="1" applyFont="1" applyBorder="1" applyAlignment="1">
      <alignment horizontal="center"/>
    </xf>
    <xf numFmtId="0" fontId="93" fillId="25" borderId="12" xfId="0" applyFont="1" applyFill="1" applyBorder="1" applyAlignment="1">
      <alignment horizontal="center"/>
    </xf>
    <xf numFmtId="0" fontId="0" fillId="0" borderId="18" xfId="0" applyBorder="1" applyAlignment="1">
      <alignment horizontal="center"/>
    </xf>
    <xf numFmtId="0" fontId="0" fillId="0" borderId="13" xfId="0" applyBorder="1" applyAlignment="1">
      <alignment horizontal="center"/>
    </xf>
    <xf numFmtId="7" fontId="70" fillId="25" borderId="19" xfId="33" applyNumberFormat="1" applyFont="1" applyFill="1" applyBorder="1" applyAlignment="1">
      <alignment horizontal="center"/>
    </xf>
    <xf numFmtId="7" fontId="70" fillId="25" borderId="20" xfId="33" applyNumberFormat="1" applyFont="1" applyFill="1" applyBorder="1" applyAlignment="1">
      <alignment horizontal="center"/>
    </xf>
    <xf numFmtId="0" fontId="76" fillId="25" borderId="17" xfId="0" applyFont="1" applyFill="1" applyBorder="1" applyAlignment="1">
      <alignment horizontal="left"/>
    </xf>
    <xf numFmtId="0" fontId="76" fillId="25" borderId="19" xfId="0" applyFont="1" applyFill="1" applyBorder="1" applyAlignment="1">
      <alignment horizontal="left"/>
    </xf>
    <xf numFmtId="0" fontId="70" fillId="25" borderId="18" xfId="0" applyFont="1" applyFill="1" applyBorder="1" applyAlignment="1">
      <alignment horizontal="left"/>
    </xf>
    <xf numFmtId="0" fontId="70" fillId="25" borderId="13" xfId="0" applyFont="1" applyFill="1" applyBorder="1" applyAlignment="1">
      <alignment horizontal="left"/>
    </xf>
    <xf numFmtId="0" fontId="70" fillId="25" borderId="11" xfId="0" applyFont="1" applyFill="1" applyBorder="1" applyAlignment="1">
      <alignment horizontal="center"/>
    </xf>
    <xf numFmtId="0" fontId="91" fillId="25" borderId="15" xfId="30" applyFont="1" applyFill="1" applyBorder="1" applyAlignment="1">
      <alignment horizontal="left"/>
    </xf>
    <xf numFmtId="0" fontId="91" fillId="25" borderId="40" xfId="30" applyFont="1" applyFill="1" applyBorder="1" applyAlignment="1">
      <alignment horizontal="left"/>
    </xf>
    <xf numFmtId="0" fontId="70" fillId="0" borderId="11" xfId="0" applyFont="1" applyBorder="1" applyAlignment="1">
      <alignment horizontal="left" vertical="center" wrapText="1"/>
    </xf>
    <xf numFmtId="0" fontId="70" fillId="0" borderId="12" xfId="0" applyFont="1" applyBorder="1" applyAlignment="1">
      <alignment vertical="center" wrapText="1"/>
    </xf>
    <xf numFmtId="0" fontId="70" fillId="0" borderId="18" xfId="0" applyFont="1" applyBorder="1" applyAlignment="1">
      <alignment vertical="center" wrapText="1"/>
    </xf>
    <xf numFmtId="0" fontId="70" fillId="0" borderId="13" xfId="0" applyFont="1" applyBorder="1" applyAlignment="1">
      <alignment vertical="center" wrapText="1"/>
    </xf>
    <xf numFmtId="4" fontId="37" fillId="25" borderId="31" xfId="0" applyNumberFormat="1" applyFont="1" applyFill="1" applyBorder="1" applyAlignment="1">
      <alignment horizontal="center" vertical="center"/>
    </xf>
    <xf numFmtId="7" fontId="29" fillId="25" borderId="11" xfId="34" applyNumberFormat="1" applyFont="1" applyFill="1" applyBorder="1" applyAlignment="1">
      <alignment horizontal="center" vertical="center"/>
    </xf>
    <xf numFmtId="0" fontId="61" fillId="27" borderId="14" xfId="30" applyFill="1" applyBorder="1" applyAlignment="1"/>
    <xf numFmtId="0" fontId="70" fillId="27" borderId="0" xfId="0" applyFont="1" applyFill="1" applyAlignment="1"/>
    <xf numFmtId="0" fontId="91" fillId="27" borderId="15" xfId="30" applyFont="1" applyFill="1" applyBorder="1" applyAlignment="1">
      <alignment horizontal="left"/>
    </xf>
    <xf numFmtId="0" fontId="91" fillId="27" borderId="40" xfId="30" applyFont="1" applyFill="1" applyBorder="1" applyAlignment="1">
      <alignment horizontal="left"/>
    </xf>
    <xf numFmtId="0" fontId="70" fillId="0" borderId="11" xfId="0" applyFont="1" applyBorder="1" applyAlignment="1">
      <alignment horizontal="left"/>
    </xf>
    <xf numFmtId="7" fontId="70" fillId="0" borderId="12" xfId="0" applyNumberFormat="1" applyFont="1" applyBorder="1" applyAlignment="1">
      <alignment horizontal="center" wrapText="1"/>
    </xf>
    <xf numFmtId="7" fontId="70" fillId="0" borderId="13" xfId="0" applyNumberFormat="1" applyFont="1" applyBorder="1" applyAlignment="1">
      <alignment horizontal="center" wrapText="1"/>
    </xf>
    <xf numFmtId="7" fontId="70" fillId="0" borderId="28" xfId="33" applyNumberFormat="1" applyFont="1" applyBorder="1" applyAlignment="1">
      <alignment horizontal="center"/>
    </xf>
    <xf numFmtId="0" fontId="70" fillId="0" borderId="11" xfId="0" applyFont="1" applyBorder="1" applyAlignment="1">
      <alignment horizontal="center"/>
    </xf>
    <xf numFmtId="0" fontId="70" fillId="0" borderId="53" xfId="0" applyFont="1" applyBorder="1" applyAlignment="1">
      <alignment horizontal="left" wrapText="1"/>
    </xf>
    <xf numFmtId="0" fontId="76" fillId="40" borderId="59" xfId="0" applyFont="1" applyFill="1" applyBorder="1" applyAlignment="1">
      <alignment horizontal="center"/>
    </xf>
    <xf numFmtId="0" fontId="76" fillId="40" borderId="30" xfId="0" applyFont="1" applyFill="1" applyBorder="1" applyAlignment="1">
      <alignment horizontal="center"/>
    </xf>
    <xf numFmtId="0" fontId="76" fillId="40" borderId="54" xfId="0" applyFont="1" applyFill="1" applyBorder="1" applyAlignment="1">
      <alignment horizontal="center"/>
    </xf>
    <xf numFmtId="7" fontId="70" fillId="0" borderId="38" xfId="33" applyNumberFormat="1" applyFont="1" applyBorder="1" applyAlignment="1">
      <alignment horizontal="center"/>
    </xf>
    <xf numFmtId="0" fontId="82" fillId="0" borderId="49" xfId="0" applyFont="1" applyBorder="1" applyAlignment="1">
      <alignment horizontal="center"/>
    </xf>
    <xf numFmtId="0" fontId="82" fillId="0" borderId="51" xfId="0" applyFont="1" applyBorder="1" applyAlignment="1">
      <alignment horizontal="center"/>
    </xf>
    <xf numFmtId="43" fontId="62" fillId="25" borderId="11" xfId="0" applyNumberFormat="1" applyFont="1" applyFill="1" applyBorder="1" applyAlignment="1">
      <alignment horizontal="left" vertical="center" wrapText="1"/>
    </xf>
    <xf numFmtId="43" fontId="38" fillId="0" borderId="0" xfId="74" applyFont="1" applyFill="1" applyAlignment="1">
      <alignment horizontal="center" vertical="center" wrapText="1"/>
    </xf>
    <xf numFmtId="43" fontId="62" fillId="25" borderId="19" xfId="0" applyNumberFormat="1" applyFont="1" applyFill="1" applyBorder="1" applyAlignment="1">
      <alignment horizontal="left" vertical="center" wrapText="1"/>
    </xf>
    <xf numFmtId="43" fontId="62" fillId="25" borderId="20" xfId="0" applyNumberFormat="1" applyFont="1" applyFill="1" applyBorder="1" applyAlignment="1">
      <alignment horizontal="left" vertical="center" wrapText="1"/>
    </xf>
    <xf numFmtId="0" fontId="62" fillId="25" borderId="31" xfId="0" applyFont="1" applyFill="1" applyBorder="1" applyAlignment="1">
      <alignment horizontal="center" vertical="center"/>
    </xf>
    <xf numFmtId="0" fontId="62" fillId="25" borderId="32" xfId="0" applyFont="1" applyFill="1" applyBorder="1" applyAlignment="1">
      <alignment horizontal="center" vertical="center"/>
    </xf>
    <xf numFmtId="0" fontId="62" fillId="25" borderId="23" xfId="0" applyFont="1" applyFill="1" applyBorder="1" applyAlignment="1">
      <alignment horizontal="center" vertical="center"/>
    </xf>
    <xf numFmtId="0" fontId="62" fillId="25" borderId="11" xfId="0" applyFont="1" applyFill="1" applyBorder="1" applyAlignment="1">
      <alignment horizontal="center" vertical="center"/>
    </xf>
    <xf numFmtId="0" fontId="62" fillId="0" borderId="0" xfId="0" applyFont="1" applyAlignment="1">
      <alignment horizontal="center"/>
    </xf>
    <xf numFmtId="43" fontId="72" fillId="39" borderId="0" xfId="74" applyFont="1" applyFill="1" applyAlignment="1">
      <alignment horizontal="center" vertical="center" wrapText="1"/>
    </xf>
    <xf numFmtId="0" fontId="0" fillId="25" borderId="0" xfId="0" applyFill="1" applyAlignment="1">
      <alignment horizontal="left"/>
    </xf>
    <xf numFmtId="0" fontId="62" fillId="25" borderId="0" xfId="0" applyFont="1" applyFill="1" applyAlignment="1">
      <alignment horizontal="center" wrapText="1"/>
    </xf>
    <xf numFmtId="43" fontId="38" fillId="25" borderId="49" xfId="74" applyFont="1" applyFill="1" applyBorder="1" applyAlignment="1">
      <alignment horizontal="center" vertical="center"/>
    </xf>
    <xf numFmtId="43" fontId="38" fillId="25" borderId="50" xfId="74" applyFont="1" applyFill="1" applyBorder="1" applyAlignment="1">
      <alignment horizontal="center" vertical="center"/>
    </xf>
    <xf numFmtId="43" fontId="38" fillId="25" borderId="51" xfId="74" applyFont="1" applyFill="1" applyBorder="1" applyAlignment="1">
      <alignment horizontal="center" vertical="center"/>
    </xf>
    <xf numFmtId="0" fontId="0" fillId="0" borderId="59" xfId="0" applyBorder="1" applyAlignment="1">
      <alignment horizontal="center"/>
    </xf>
    <xf numFmtId="0" fontId="0" fillId="0" borderId="30" xfId="0" applyBorder="1" applyAlignment="1">
      <alignment horizontal="center"/>
    </xf>
    <xf numFmtId="0" fontId="0" fillId="0" borderId="54" xfId="0" applyBorder="1" applyAlignment="1">
      <alignment horizontal="center"/>
    </xf>
    <xf numFmtId="0" fontId="0" fillId="0" borderId="62" xfId="0" applyBorder="1" applyAlignment="1">
      <alignment horizontal="center"/>
    </xf>
    <xf numFmtId="0" fontId="0" fillId="0" borderId="0" xfId="0" applyBorder="1" applyAlignment="1">
      <alignment horizontal="center"/>
    </xf>
    <xf numFmtId="0" fontId="0" fillId="0" borderId="63" xfId="0" applyBorder="1" applyAlignment="1">
      <alignment horizontal="center"/>
    </xf>
    <xf numFmtId="0" fontId="0" fillId="0" borderId="37" xfId="0"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95" fillId="0" borderId="0" xfId="0" applyFont="1" applyAlignment="1">
      <alignment horizontal="left" wrapText="1"/>
    </xf>
    <xf numFmtId="0" fontId="95" fillId="0" borderId="0" xfId="0" applyFont="1" applyAlignment="1">
      <alignment horizontal="left" vertical="center" wrapText="1"/>
    </xf>
    <xf numFmtId="0" fontId="96" fillId="41" borderId="71" xfId="0" applyFont="1" applyFill="1" applyBorder="1" applyAlignment="1">
      <alignment horizontal="left" vertical="center" wrapText="1"/>
    </xf>
    <xf numFmtId="0" fontId="96" fillId="41" borderId="72" xfId="0" applyFont="1" applyFill="1" applyBorder="1" applyAlignment="1">
      <alignment horizontal="left" vertical="center"/>
    </xf>
    <xf numFmtId="0" fontId="96" fillId="41" borderId="73" xfId="0" applyFont="1" applyFill="1" applyBorder="1" applyAlignment="1">
      <alignment horizontal="left" vertical="center"/>
    </xf>
    <xf numFmtId="8" fontId="96" fillId="41" borderId="69" xfId="0" applyNumberFormat="1" applyFont="1" applyFill="1" applyBorder="1" applyAlignment="1">
      <alignment horizontal="center" vertical="center"/>
    </xf>
    <xf numFmtId="8" fontId="96" fillId="41" borderId="70" xfId="0" applyNumberFormat="1" applyFont="1" applyFill="1" applyBorder="1" applyAlignment="1">
      <alignment horizontal="center" vertical="center"/>
    </xf>
    <xf numFmtId="8" fontId="96" fillId="41" borderId="74" xfId="0" applyNumberFormat="1" applyFont="1" applyFill="1" applyBorder="1" applyAlignment="1">
      <alignment horizontal="center" vertical="center"/>
    </xf>
    <xf numFmtId="8" fontId="96" fillId="41" borderId="75" xfId="0" applyNumberFormat="1" applyFont="1" applyFill="1" applyBorder="1" applyAlignment="1">
      <alignment horizontal="center" vertical="center"/>
    </xf>
    <xf numFmtId="0" fontId="0" fillId="0" borderId="76" xfId="0" applyBorder="1" applyAlignment="1">
      <alignment horizontal="center" vertical="center"/>
    </xf>
    <xf numFmtId="0" fontId="0" fillId="0" borderId="77" xfId="0" applyBorder="1" applyAlignment="1">
      <alignment horizontal="center" vertical="center"/>
    </xf>
    <xf numFmtId="0" fontId="0" fillId="0" borderId="78" xfId="0" applyBorder="1" applyAlignment="1">
      <alignment horizontal="center" vertical="center"/>
    </xf>
    <xf numFmtId="0" fontId="96" fillId="41" borderId="64" xfId="0" applyFont="1" applyFill="1" applyBorder="1" applyAlignment="1">
      <alignment horizontal="left" vertical="center"/>
    </xf>
    <xf numFmtId="0" fontId="96" fillId="41" borderId="65" xfId="0" applyFont="1" applyFill="1" applyBorder="1" applyAlignment="1">
      <alignment horizontal="left" vertical="center"/>
    </xf>
    <xf numFmtId="0" fontId="96" fillId="41" borderId="66" xfId="0" applyFont="1" applyFill="1" applyBorder="1" applyAlignment="1">
      <alignment horizontal="left" vertical="center"/>
    </xf>
    <xf numFmtId="0" fontId="0" fillId="0" borderId="67" xfId="0" applyBorder="1" applyAlignment="1">
      <alignment horizontal="center" vertical="center"/>
    </xf>
    <xf numFmtId="0" fontId="0" fillId="0" borderId="68" xfId="0" applyBorder="1" applyAlignment="1">
      <alignment horizontal="center" vertical="center"/>
    </xf>
    <xf numFmtId="0" fontId="97" fillId="25" borderId="0" xfId="0" applyFont="1" applyFill="1" applyBorder="1" applyAlignment="1">
      <alignment horizontal="left" vertical="center" wrapText="1"/>
    </xf>
    <xf numFmtId="0" fontId="97" fillId="25" borderId="14" xfId="0" applyFont="1" applyFill="1" applyBorder="1" applyAlignment="1">
      <alignment horizontal="left" vertical="center" wrapText="1"/>
    </xf>
    <xf numFmtId="0" fontId="0" fillId="0" borderId="17"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16" xfId="0" applyBorder="1" applyAlignment="1">
      <alignment horizontal="center"/>
    </xf>
    <xf numFmtId="0" fontId="0" fillId="0" borderId="15" xfId="0" applyBorder="1" applyAlignment="1">
      <alignment horizontal="center"/>
    </xf>
    <xf numFmtId="0" fontId="0" fillId="0" borderId="40" xfId="0" applyBorder="1" applyAlignment="1">
      <alignment horizontal="center"/>
    </xf>
    <xf numFmtId="0" fontId="0" fillId="25" borderId="11" xfId="0" applyFill="1" applyBorder="1" applyAlignment="1">
      <alignment horizontal="center"/>
    </xf>
    <xf numFmtId="0" fontId="0" fillId="0" borderId="11" xfId="0" applyBorder="1" applyAlignment="1">
      <alignment horizontal="center"/>
    </xf>
    <xf numFmtId="43" fontId="60" fillId="39" borderId="0" xfId="74" applyFont="1" applyFill="1" applyAlignment="1">
      <alignment horizontal="center" vertical="center" wrapText="1"/>
    </xf>
  </cellXfs>
  <cellStyles count="75">
    <cellStyle name="20% - Ênfase1 2" xfId="1" xr:uid="{00000000-0005-0000-0000-000000000000}"/>
    <cellStyle name="20% - Ênfase2 2" xfId="2" xr:uid="{00000000-0005-0000-0000-000001000000}"/>
    <cellStyle name="20% - Ênfase3 2" xfId="3" xr:uid="{00000000-0005-0000-0000-000002000000}"/>
    <cellStyle name="20% - Ênfase4 2" xfId="4" xr:uid="{00000000-0005-0000-0000-000003000000}"/>
    <cellStyle name="20% - Ênfase5 2" xfId="5" xr:uid="{00000000-0005-0000-0000-000004000000}"/>
    <cellStyle name="20% - Ênfase6 2" xfId="6" xr:uid="{00000000-0005-0000-0000-000005000000}"/>
    <cellStyle name="40% - Ênfase1 2" xfId="7" xr:uid="{00000000-0005-0000-0000-000006000000}"/>
    <cellStyle name="40% - Ênfase2 2" xfId="8" xr:uid="{00000000-0005-0000-0000-000007000000}"/>
    <cellStyle name="40% - Ênfase3 2" xfId="9" xr:uid="{00000000-0005-0000-0000-000008000000}"/>
    <cellStyle name="40% - Ênfase4 2" xfId="10" xr:uid="{00000000-0005-0000-0000-000009000000}"/>
    <cellStyle name="40% - Ênfase5 2" xfId="11" xr:uid="{00000000-0005-0000-0000-00000A000000}"/>
    <cellStyle name="40% - Ênfase6 2" xfId="12" xr:uid="{00000000-0005-0000-0000-00000B000000}"/>
    <cellStyle name="60% - Ênfase1 2" xfId="13" xr:uid="{00000000-0005-0000-0000-00000C000000}"/>
    <cellStyle name="60% - Ênfase2 2" xfId="14" xr:uid="{00000000-0005-0000-0000-00000D000000}"/>
    <cellStyle name="60% - Ênfase3 2" xfId="15" xr:uid="{00000000-0005-0000-0000-00000E000000}"/>
    <cellStyle name="60% - Ênfase4 2" xfId="16" xr:uid="{00000000-0005-0000-0000-00000F000000}"/>
    <cellStyle name="60% - Ênfase5 2" xfId="17" xr:uid="{00000000-0005-0000-0000-000010000000}"/>
    <cellStyle name="60% - Ênfase6 2" xfId="18" xr:uid="{00000000-0005-0000-0000-000011000000}"/>
    <cellStyle name="Bom 2" xfId="19" xr:uid="{00000000-0005-0000-0000-000012000000}"/>
    <cellStyle name="Cálculo 2" xfId="20" xr:uid="{00000000-0005-0000-0000-000013000000}"/>
    <cellStyle name="Célula de Verificação 2" xfId="21" xr:uid="{00000000-0005-0000-0000-000014000000}"/>
    <cellStyle name="Célula Vinculada 2" xfId="22" xr:uid="{00000000-0005-0000-0000-000015000000}"/>
    <cellStyle name="Ênfase1 2" xfId="23" xr:uid="{00000000-0005-0000-0000-000018000000}"/>
    <cellStyle name="Ênfase2 2" xfId="24" xr:uid="{00000000-0005-0000-0000-000019000000}"/>
    <cellStyle name="Ênfase3 2" xfId="25" xr:uid="{00000000-0005-0000-0000-00001A000000}"/>
    <cellStyle name="Ênfase4 2" xfId="26" xr:uid="{00000000-0005-0000-0000-00001B000000}"/>
    <cellStyle name="Ênfase5 2" xfId="27" xr:uid="{00000000-0005-0000-0000-00001C000000}"/>
    <cellStyle name="Ênfase6 2" xfId="28" xr:uid="{00000000-0005-0000-0000-00001D000000}"/>
    <cellStyle name="Entrada 2" xfId="29" xr:uid="{00000000-0005-0000-0000-00001E000000}"/>
    <cellStyle name="Hiperlink" xfId="30" builtinId="8"/>
    <cellStyle name="Incorreto 2" xfId="31" xr:uid="{00000000-0005-0000-0000-000020000000}"/>
    <cellStyle name="Indefinido" xfId="32" xr:uid="{00000000-0005-0000-0000-000021000000}"/>
    <cellStyle name="Moeda" xfId="33" builtinId="4"/>
    <cellStyle name="Moeda 2" xfId="34" xr:uid="{00000000-0005-0000-0000-000022000000}"/>
    <cellStyle name="Moeda 2 2" xfId="35" xr:uid="{00000000-0005-0000-0000-000023000000}"/>
    <cellStyle name="Moeda 3" xfId="36" xr:uid="{00000000-0005-0000-0000-000024000000}"/>
    <cellStyle name="Moeda 4" xfId="37" xr:uid="{00000000-0005-0000-0000-000025000000}"/>
    <cellStyle name="Moeda 4 2" xfId="38" xr:uid="{00000000-0005-0000-0000-000026000000}"/>
    <cellStyle name="Moeda 5" xfId="39" xr:uid="{00000000-0005-0000-0000-000027000000}"/>
    <cellStyle name="Moeda 6" xfId="40" xr:uid="{00000000-0005-0000-0000-000028000000}"/>
    <cellStyle name="Neutra 2" xfId="41" xr:uid="{00000000-0005-0000-0000-000029000000}"/>
    <cellStyle name="Normal" xfId="0" builtinId="0"/>
    <cellStyle name="Normal 2" xfId="42" xr:uid="{00000000-0005-0000-0000-00002B000000}"/>
    <cellStyle name="Normal 2 2" xfId="43" xr:uid="{00000000-0005-0000-0000-00002C000000}"/>
    <cellStyle name="Normal 3" xfId="44" xr:uid="{00000000-0005-0000-0000-00002D000000}"/>
    <cellStyle name="Normal 4" xfId="45" xr:uid="{00000000-0005-0000-0000-00002E000000}"/>
    <cellStyle name="Normal 5" xfId="46" xr:uid="{00000000-0005-0000-0000-00002F000000}"/>
    <cellStyle name="Normal 6" xfId="47" xr:uid="{00000000-0005-0000-0000-000030000000}"/>
    <cellStyle name="Normal_Teresópolis - Venda 19.03.2009" xfId="48" xr:uid="{00000000-0005-0000-0000-000031000000}"/>
    <cellStyle name="Nota 2" xfId="49" xr:uid="{00000000-0005-0000-0000-000032000000}"/>
    <cellStyle name="Output Amounts" xfId="50" xr:uid="{00000000-0005-0000-0000-000033000000}"/>
    <cellStyle name="Output Column Headings" xfId="51" xr:uid="{00000000-0005-0000-0000-000034000000}"/>
    <cellStyle name="Output Line Items" xfId="52" xr:uid="{00000000-0005-0000-0000-000035000000}"/>
    <cellStyle name="Output Report Heading" xfId="53" xr:uid="{00000000-0005-0000-0000-000036000000}"/>
    <cellStyle name="Output Report Title" xfId="54" xr:uid="{00000000-0005-0000-0000-000037000000}"/>
    <cellStyle name="Porcentagem" xfId="55" builtinId="5"/>
    <cellStyle name="Porcentagem 10" xfId="56" xr:uid="{00000000-0005-0000-0000-000039000000}"/>
    <cellStyle name="Porcentagem 2" xfId="57" xr:uid="{00000000-0005-0000-0000-00003A000000}"/>
    <cellStyle name="Porcentagem 3" xfId="58" xr:uid="{00000000-0005-0000-0000-00003B000000}"/>
    <cellStyle name="Porcentagem 4" xfId="59" xr:uid="{00000000-0005-0000-0000-00003C000000}"/>
    <cellStyle name="Saída 2" xfId="60" xr:uid="{00000000-0005-0000-0000-00003D000000}"/>
    <cellStyle name="Separador de milhares 2" xfId="61" xr:uid="{00000000-0005-0000-0000-00003E000000}"/>
    <cellStyle name="Separador de milhares 2 2" xfId="62" xr:uid="{00000000-0005-0000-0000-00003F000000}"/>
    <cellStyle name="Separador de milhares 3" xfId="63" xr:uid="{00000000-0005-0000-0000-000040000000}"/>
    <cellStyle name="Separador de milhares 3 2" xfId="64" xr:uid="{00000000-0005-0000-0000-000041000000}"/>
    <cellStyle name="Separador de milhares 4" xfId="65" xr:uid="{00000000-0005-0000-0000-000042000000}"/>
    <cellStyle name="Texto de Aviso 2" xfId="66" xr:uid="{00000000-0005-0000-0000-000043000000}"/>
    <cellStyle name="Texto Explicativo 2" xfId="67" xr:uid="{00000000-0005-0000-0000-000044000000}"/>
    <cellStyle name="Título 1 1" xfId="68" xr:uid="{00000000-0005-0000-0000-000045000000}"/>
    <cellStyle name="Título 1 2" xfId="69" xr:uid="{00000000-0005-0000-0000-000046000000}"/>
    <cellStyle name="Título 2 2" xfId="70" xr:uid="{00000000-0005-0000-0000-000047000000}"/>
    <cellStyle name="Título 3 2" xfId="71" xr:uid="{00000000-0005-0000-0000-000048000000}"/>
    <cellStyle name="Título 4 2" xfId="72" xr:uid="{00000000-0005-0000-0000-000049000000}"/>
    <cellStyle name="Total 2" xfId="73" xr:uid="{00000000-0005-0000-0000-00004A000000}"/>
    <cellStyle name="Vírgula" xfId="74"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4.xml.rels><?xml version="1.0" encoding="UTF-8" standalone="yes"?>
<Relationships xmlns="http://schemas.openxmlformats.org/package/2006/relationships"><Relationship Id="rId8" Type="http://schemas.openxmlformats.org/officeDocument/2006/relationships/hyperlink" Target="https://www.googleadservices.com/pagead/aclk?sa=L&amp;ai=DChcSEwjr48Pd74vsAhUEDZEKHTvVBmcYABARGgJjZQ&amp;ohost=www.google.com.br&amp;cid=CAESQOD2AoaY6qUXJLb_15GL1--JSXpSVKIsy6QXQHQ2YDDKDavD2-tTaxZ6ABxAN3o7MYY3kCgLsKdRWD7NFg70kXo&amp;sig=AOD64_09IAKV-A2YF2R_qaoYxGh_WKQQ6g&amp;ctype=5&amp;q=&amp;ved=2ahUKEwiut7vd74vsAhX8LLkGHcxtBuIQ9aACegQIDhBw&amp;adurl=" TargetMode="External"/><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10" Type="http://schemas.openxmlformats.org/officeDocument/2006/relationships/image" Target="../media/image26.png"/><Relationship Id="rId4" Type="http://schemas.openxmlformats.org/officeDocument/2006/relationships/image" Target="../media/image21.png"/><Relationship Id="rId9"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1</xdr:col>
      <xdr:colOff>514350</xdr:colOff>
      <xdr:row>3</xdr:row>
      <xdr:rowOff>57150</xdr:rowOff>
    </xdr:from>
    <xdr:to>
      <xdr:col>7</xdr:col>
      <xdr:colOff>295275</xdr:colOff>
      <xdr:row>14</xdr:row>
      <xdr:rowOff>66675</xdr:rowOff>
    </xdr:to>
    <xdr:pic>
      <xdr:nvPicPr>
        <xdr:cNvPr id="42374" name="Imagem 1">
          <a:extLst>
            <a:ext uri="{FF2B5EF4-FFF2-40B4-BE49-F238E27FC236}">
              <a16:creationId xmlns:a16="http://schemas.microsoft.com/office/drawing/2014/main" id="{913CEB0A-0C97-40A0-A792-DD443B2129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50" y="695325"/>
          <a:ext cx="3438525"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133350</xdr:colOff>
      <xdr:row>15</xdr:row>
      <xdr:rowOff>171450</xdr:rowOff>
    </xdr:from>
    <xdr:to>
      <xdr:col>7</xdr:col>
      <xdr:colOff>447675</xdr:colOff>
      <xdr:row>24</xdr:row>
      <xdr:rowOff>66675</xdr:rowOff>
    </xdr:to>
    <xdr:pic>
      <xdr:nvPicPr>
        <xdr:cNvPr id="42375" name="Imagem 2">
          <a:extLst>
            <a:ext uri="{FF2B5EF4-FFF2-40B4-BE49-F238E27FC236}">
              <a16:creationId xmlns:a16="http://schemas.microsoft.com/office/drawing/2014/main" id="{48EDE846-4488-42C7-8EFA-0625A22C63F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9250" y="2990850"/>
          <a:ext cx="275272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304800</xdr:colOff>
      <xdr:row>25</xdr:row>
      <xdr:rowOff>142875</xdr:rowOff>
    </xdr:from>
    <xdr:to>
      <xdr:col>7</xdr:col>
      <xdr:colOff>390525</xdr:colOff>
      <xdr:row>32</xdr:row>
      <xdr:rowOff>142875</xdr:rowOff>
    </xdr:to>
    <xdr:pic>
      <xdr:nvPicPr>
        <xdr:cNvPr id="42376" name="Imagem 3">
          <a:extLst>
            <a:ext uri="{FF2B5EF4-FFF2-40B4-BE49-F238E27FC236}">
              <a16:creationId xmlns:a16="http://schemas.microsoft.com/office/drawing/2014/main" id="{C8716B10-206C-45C8-8D4C-2D0F5E55680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90700" y="4933950"/>
          <a:ext cx="252412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542925</xdr:colOff>
      <xdr:row>34</xdr:row>
      <xdr:rowOff>28575</xdr:rowOff>
    </xdr:from>
    <xdr:to>
      <xdr:col>8</xdr:col>
      <xdr:colOff>38100</xdr:colOff>
      <xdr:row>42</xdr:row>
      <xdr:rowOff>180975</xdr:rowOff>
    </xdr:to>
    <xdr:pic>
      <xdr:nvPicPr>
        <xdr:cNvPr id="42377" name="Imagem 4">
          <a:extLst>
            <a:ext uri="{FF2B5EF4-FFF2-40B4-BE49-F238E27FC236}">
              <a16:creationId xmlns:a16="http://schemas.microsoft.com/office/drawing/2014/main" id="{02664F1E-BFD4-4246-B467-D8C069033E2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19225" y="6534150"/>
          <a:ext cx="31527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257175</xdr:colOff>
      <xdr:row>45</xdr:row>
      <xdr:rowOff>114300</xdr:rowOff>
    </xdr:from>
    <xdr:to>
      <xdr:col>6</xdr:col>
      <xdr:colOff>600075</xdr:colOff>
      <xdr:row>52</xdr:row>
      <xdr:rowOff>114300</xdr:rowOff>
    </xdr:to>
    <xdr:pic>
      <xdr:nvPicPr>
        <xdr:cNvPr id="42378" name="Imagem 5">
          <a:extLst>
            <a:ext uri="{FF2B5EF4-FFF2-40B4-BE49-F238E27FC236}">
              <a16:creationId xmlns:a16="http://schemas.microsoft.com/office/drawing/2014/main" id="{2621FC4F-D4DF-4EA2-AB66-941F0DD84A3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43075" y="8715375"/>
          <a:ext cx="217170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19050</xdr:rowOff>
    </xdr:from>
    <xdr:to>
      <xdr:col>4</xdr:col>
      <xdr:colOff>304800</xdr:colOff>
      <xdr:row>17</xdr:row>
      <xdr:rowOff>114300</xdr:rowOff>
    </xdr:to>
    <xdr:pic>
      <xdr:nvPicPr>
        <xdr:cNvPr id="45088" name="Imagem 1">
          <a:extLst>
            <a:ext uri="{FF2B5EF4-FFF2-40B4-BE49-F238E27FC236}">
              <a16:creationId xmlns:a16="http://schemas.microsoft.com/office/drawing/2014/main" id="{52951DD3-99C3-4BEA-A0E3-C5E17DC6F8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228725"/>
          <a:ext cx="2133600"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28575</xdr:rowOff>
    </xdr:from>
    <xdr:to>
      <xdr:col>9</xdr:col>
      <xdr:colOff>314325</xdr:colOff>
      <xdr:row>15</xdr:row>
      <xdr:rowOff>76200</xdr:rowOff>
    </xdr:to>
    <xdr:pic>
      <xdr:nvPicPr>
        <xdr:cNvPr id="45089" name="Imagem 2">
          <a:extLst>
            <a:ext uri="{FF2B5EF4-FFF2-40B4-BE49-F238E27FC236}">
              <a16:creationId xmlns:a16="http://schemas.microsoft.com/office/drawing/2014/main" id="{8BB777F1-12CE-421D-922A-B27C429AF1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95650" y="1238250"/>
          <a:ext cx="214312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285750</xdr:colOff>
      <xdr:row>20</xdr:row>
      <xdr:rowOff>85725</xdr:rowOff>
    </xdr:from>
    <xdr:to>
      <xdr:col>5</xdr:col>
      <xdr:colOff>371475</xdr:colOff>
      <xdr:row>27</xdr:row>
      <xdr:rowOff>123825</xdr:rowOff>
    </xdr:to>
    <xdr:pic>
      <xdr:nvPicPr>
        <xdr:cNvPr id="45090" name="Imagem 4">
          <a:extLst>
            <a:ext uri="{FF2B5EF4-FFF2-40B4-BE49-F238E27FC236}">
              <a16:creationId xmlns:a16="http://schemas.microsoft.com/office/drawing/2014/main" id="{FD3D55BA-B039-4D89-A85C-268801C80CA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52600" y="3962400"/>
          <a:ext cx="1304925"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21</xdr:row>
      <xdr:rowOff>9525</xdr:rowOff>
    </xdr:from>
    <xdr:to>
      <xdr:col>3</xdr:col>
      <xdr:colOff>28575</xdr:colOff>
      <xdr:row>25</xdr:row>
      <xdr:rowOff>152400</xdr:rowOff>
    </xdr:to>
    <xdr:pic>
      <xdr:nvPicPr>
        <xdr:cNvPr id="45091" name="Imagem 5">
          <a:extLst>
            <a:ext uri="{FF2B5EF4-FFF2-40B4-BE49-F238E27FC236}">
              <a16:creationId xmlns:a16="http://schemas.microsoft.com/office/drawing/2014/main" id="{DB9A93FB-1C74-43CE-829B-CFB7A8570F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4076700"/>
          <a:ext cx="14097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21</xdr:row>
      <xdr:rowOff>0</xdr:rowOff>
    </xdr:from>
    <xdr:to>
      <xdr:col>10</xdr:col>
      <xdr:colOff>57150</xdr:colOff>
      <xdr:row>27</xdr:row>
      <xdr:rowOff>85725</xdr:rowOff>
    </xdr:to>
    <xdr:pic>
      <xdr:nvPicPr>
        <xdr:cNvPr id="45092" name="Imagem 6">
          <a:extLst>
            <a:ext uri="{FF2B5EF4-FFF2-40B4-BE49-F238E27FC236}">
              <a16:creationId xmlns:a16="http://schemas.microsoft.com/office/drawing/2014/main" id="{DD1F6FFA-ECE0-4271-903A-8BDEE75DC23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05250" y="4067175"/>
          <a:ext cx="18859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29</xdr:row>
      <xdr:rowOff>171450</xdr:rowOff>
    </xdr:from>
    <xdr:to>
      <xdr:col>2</xdr:col>
      <xdr:colOff>114300</xdr:colOff>
      <xdr:row>34</xdr:row>
      <xdr:rowOff>171450</xdr:rowOff>
    </xdr:to>
    <xdr:pic>
      <xdr:nvPicPr>
        <xdr:cNvPr id="45093" name="Imagem 7">
          <a:extLst>
            <a:ext uri="{FF2B5EF4-FFF2-40B4-BE49-F238E27FC236}">
              <a16:creationId xmlns:a16="http://schemas.microsoft.com/office/drawing/2014/main" id="{82BFA77F-AE1D-4D9B-9D9C-24030EB2B0B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8600" y="5762625"/>
          <a:ext cx="7429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29</xdr:row>
      <xdr:rowOff>47625</xdr:rowOff>
    </xdr:from>
    <xdr:to>
      <xdr:col>6</xdr:col>
      <xdr:colOff>304800</xdr:colOff>
      <xdr:row>36</xdr:row>
      <xdr:rowOff>104775</xdr:rowOff>
    </xdr:to>
    <xdr:pic>
      <xdr:nvPicPr>
        <xdr:cNvPr id="45094" name="Imagem 8">
          <a:extLst>
            <a:ext uri="{FF2B5EF4-FFF2-40B4-BE49-F238E27FC236}">
              <a16:creationId xmlns:a16="http://schemas.microsoft.com/office/drawing/2014/main" id="{32EDFEB2-8653-4DF8-B7E9-7F722C63143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33575" y="5638800"/>
          <a:ext cx="166687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466725</xdr:colOff>
      <xdr:row>29</xdr:row>
      <xdr:rowOff>57150</xdr:rowOff>
    </xdr:from>
    <xdr:to>
      <xdr:col>9</xdr:col>
      <xdr:colOff>485775</xdr:colOff>
      <xdr:row>35</xdr:row>
      <xdr:rowOff>19050</xdr:rowOff>
    </xdr:to>
    <xdr:pic>
      <xdr:nvPicPr>
        <xdr:cNvPr id="45095" name="Imagem 9">
          <a:extLst>
            <a:ext uri="{FF2B5EF4-FFF2-40B4-BE49-F238E27FC236}">
              <a16:creationId xmlns:a16="http://schemas.microsoft.com/office/drawing/2014/main" id="{1F726BE1-2D4C-465A-AD9E-0E0C4F7FC03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762375" y="5648325"/>
          <a:ext cx="18478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38</xdr:row>
      <xdr:rowOff>171450</xdr:rowOff>
    </xdr:from>
    <xdr:to>
      <xdr:col>2</xdr:col>
      <xdr:colOff>323850</xdr:colOff>
      <xdr:row>47</xdr:row>
      <xdr:rowOff>161925</xdr:rowOff>
    </xdr:to>
    <xdr:pic>
      <xdr:nvPicPr>
        <xdr:cNvPr id="45096" name="Imagem 10">
          <a:extLst>
            <a:ext uri="{FF2B5EF4-FFF2-40B4-BE49-F238E27FC236}">
              <a16:creationId xmlns:a16="http://schemas.microsoft.com/office/drawing/2014/main" id="{226B535D-AB5A-4174-923E-09C413930E7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7477125"/>
          <a:ext cx="1181100"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39</xdr:row>
      <xdr:rowOff>9525</xdr:rowOff>
    </xdr:from>
    <xdr:to>
      <xdr:col>5</xdr:col>
      <xdr:colOff>266700</xdr:colOff>
      <xdr:row>46</xdr:row>
      <xdr:rowOff>28575</xdr:rowOff>
    </xdr:to>
    <xdr:pic>
      <xdr:nvPicPr>
        <xdr:cNvPr id="45097" name="Imagem 11">
          <a:extLst>
            <a:ext uri="{FF2B5EF4-FFF2-40B4-BE49-F238E27FC236}">
              <a16:creationId xmlns:a16="http://schemas.microsoft.com/office/drawing/2014/main" id="{0D7F6974-DC4E-481F-A88E-7E70F4B6C4A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933575" y="7505700"/>
          <a:ext cx="10191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38</xdr:row>
      <xdr:rowOff>0</xdr:rowOff>
    </xdr:from>
    <xdr:to>
      <xdr:col>12</xdr:col>
      <xdr:colOff>304800</xdr:colOff>
      <xdr:row>39</xdr:row>
      <xdr:rowOff>114300</xdr:rowOff>
    </xdr:to>
    <xdr:sp macro="" textlink="">
      <xdr:nvSpPr>
        <xdr:cNvPr id="45098" name="AutoShape 1024">
          <a:extLst>
            <a:ext uri="{FF2B5EF4-FFF2-40B4-BE49-F238E27FC236}">
              <a16:creationId xmlns:a16="http://schemas.microsoft.com/office/drawing/2014/main" id="{83072426-3A31-4FA8-A27A-C4A073A2510C}"/>
            </a:ext>
          </a:extLst>
        </xdr:cNvPr>
        <xdr:cNvSpPr>
          <a:spLocks noChangeAspect="1" noChangeArrowheads="1"/>
        </xdr:cNvSpPr>
      </xdr:nvSpPr>
      <xdr:spPr bwMode="auto">
        <a:xfrm>
          <a:off x="6953250" y="73056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0</xdr:colOff>
      <xdr:row>38</xdr:row>
      <xdr:rowOff>0</xdr:rowOff>
    </xdr:from>
    <xdr:to>
      <xdr:col>12</xdr:col>
      <xdr:colOff>304800</xdr:colOff>
      <xdr:row>39</xdr:row>
      <xdr:rowOff>114300</xdr:rowOff>
    </xdr:to>
    <xdr:sp macro="" textlink="">
      <xdr:nvSpPr>
        <xdr:cNvPr id="45099" name="AutoShape 1025">
          <a:extLst>
            <a:ext uri="{FF2B5EF4-FFF2-40B4-BE49-F238E27FC236}">
              <a16:creationId xmlns:a16="http://schemas.microsoft.com/office/drawing/2014/main" id="{7FA94E2D-B7E3-4E7F-965A-ED592A8ECEA5}"/>
            </a:ext>
          </a:extLst>
        </xdr:cNvPr>
        <xdr:cNvSpPr>
          <a:spLocks noChangeAspect="1" noChangeArrowheads="1"/>
        </xdr:cNvSpPr>
      </xdr:nvSpPr>
      <xdr:spPr bwMode="auto">
        <a:xfrm>
          <a:off x="6953250" y="73056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190500</xdr:colOff>
      <xdr:row>40</xdr:row>
      <xdr:rowOff>19050</xdr:rowOff>
    </xdr:from>
    <xdr:to>
      <xdr:col>9</xdr:col>
      <xdr:colOff>323850</xdr:colOff>
      <xdr:row>47</xdr:row>
      <xdr:rowOff>47625</xdr:rowOff>
    </xdr:to>
    <xdr:pic>
      <xdr:nvPicPr>
        <xdr:cNvPr id="45100" name="Imagem 13" descr="Pá Quadrada Tramontina 464/30 em Aço com Cabo de Madeira 71 cm com  Empunhadura Plástica Reta Ergonômica | Tramontina">
          <a:extLst>
            <a:ext uri="{FF2B5EF4-FFF2-40B4-BE49-F238E27FC236}">
              <a16:creationId xmlns:a16="http://schemas.microsoft.com/office/drawing/2014/main" id="{C9DFAC2F-F474-4BD3-80E3-3AA4F728BBA1}"/>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95750" y="7705725"/>
          <a:ext cx="135255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47625</xdr:rowOff>
    </xdr:from>
    <xdr:to>
      <xdr:col>4</xdr:col>
      <xdr:colOff>819150</xdr:colOff>
      <xdr:row>22</xdr:row>
      <xdr:rowOff>28575</xdr:rowOff>
    </xdr:to>
    <xdr:pic>
      <xdr:nvPicPr>
        <xdr:cNvPr id="2394" name="Imagem 1">
          <a:extLst>
            <a:ext uri="{FF2B5EF4-FFF2-40B4-BE49-F238E27FC236}">
              <a16:creationId xmlns:a16="http://schemas.microsoft.com/office/drawing/2014/main" id="{BBEF06CC-DFF2-4129-81B6-5B93CAD5D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81100"/>
          <a:ext cx="3409950" cy="3409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161925</xdr:colOff>
      <xdr:row>2</xdr:row>
      <xdr:rowOff>114300</xdr:rowOff>
    </xdr:from>
    <xdr:to>
      <xdr:col>3</xdr:col>
      <xdr:colOff>361950</xdr:colOff>
      <xdr:row>6</xdr:row>
      <xdr:rowOff>47625</xdr:rowOff>
    </xdr:to>
    <xdr:pic>
      <xdr:nvPicPr>
        <xdr:cNvPr id="43710" name="Imagem 1">
          <a:extLst>
            <a:ext uri="{FF2B5EF4-FFF2-40B4-BE49-F238E27FC236}">
              <a16:creationId xmlns:a16="http://schemas.microsoft.com/office/drawing/2014/main" id="{F357BCE0-7C05-43CB-B672-C16952E112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5" y="533400"/>
          <a:ext cx="12001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8</xdr:row>
      <xdr:rowOff>133350</xdr:rowOff>
    </xdr:from>
    <xdr:to>
      <xdr:col>3</xdr:col>
      <xdr:colOff>428625</xdr:colOff>
      <xdr:row>13</xdr:row>
      <xdr:rowOff>114300</xdr:rowOff>
    </xdr:to>
    <xdr:pic>
      <xdr:nvPicPr>
        <xdr:cNvPr id="43711" name="Imagem 2">
          <a:extLst>
            <a:ext uri="{FF2B5EF4-FFF2-40B4-BE49-F238E27FC236}">
              <a16:creationId xmlns:a16="http://schemas.microsoft.com/office/drawing/2014/main" id="{A50C3DDA-000E-4015-B4E5-5439E41D65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0050" y="1666875"/>
          <a:ext cx="12573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16</xdr:row>
      <xdr:rowOff>0</xdr:rowOff>
    </xdr:from>
    <xdr:to>
      <xdr:col>3</xdr:col>
      <xdr:colOff>438150</xdr:colOff>
      <xdr:row>20</xdr:row>
      <xdr:rowOff>19050</xdr:rowOff>
    </xdr:to>
    <xdr:pic>
      <xdr:nvPicPr>
        <xdr:cNvPr id="43712" name="Imagem 3">
          <a:extLst>
            <a:ext uri="{FF2B5EF4-FFF2-40B4-BE49-F238E27FC236}">
              <a16:creationId xmlns:a16="http://schemas.microsoft.com/office/drawing/2014/main" id="{F349D7D8-AECD-453B-8B6B-5A476150185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5750" y="3181350"/>
          <a:ext cx="13811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22</xdr:row>
      <xdr:rowOff>28575</xdr:rowOff>
    </xdr:from>
    <xdr:to>
      <xdr:col>3</xdr:col>
      <xdr:colOff>438150</xdr:colOff>
      <xdr:row>25</xdr:row>
      <xdr:rowOff>133350</xdr:rowOff>
    </xdr:to>
    <xdr:pic>
      <xdr:nvPicPr>
        <xdr:cNvPr id="43713" name="Imagem 4">
          <a:extLst>
            <a:ext uri="{FF2B5EF4-FFF2-40B4-BE49-F238E27FC236}">
              <a16:creationId xmlns:a16="http://schemas.microsoft.com/office/drawing/2014/main" id="{A4DA9AC4-5BAB-4A38-B860-6C950323242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57200" y="4181475"/>
          <a:ext cx="12096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27</xdr:row>
      <xdr:rowOff>66675</xdr:rowOff>
    </xdr:from>
    <xdr:to>
      <xdr:col>3</xdr:col>
      <xdr:colOff>371475</xdr:colOff>
      <xdr:row>28</xdr:row>
      <xdr:rowOff>447675</xdr:rowOff>
    </xdr:to>
    <xdr:pic>
      <xdr:nvPicPr>
        <xdr:cNvPr id="43714" name="Imagem 6">
          <a:extLst>
            <a:ext uri="{FF2B5EF4-FFF2-40B4-BE49-F238E27FC236}">
              <a16:creationId xmlns:a16="http://schemas.microsoft.com/office/drawing/2014/main" id="{8FC698E0-D9B9-4588-A76E-5B8033B040D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6250" y="5229225"/>
          <a:ext cx="11239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30</xdr:row>
      <xdr:rowOff>161925</xdr:rowOff>
    </xdr:from>
    <xdr:to>
      <xdr:col>3</xdr:col>
      <xdr:colOff>495300</xdr:colOff>
      <xdr:row>34</xdr:row>
      <xdr:rowOff>95250</xdr:rowOff>
    </xdr:to>
    <xdr:pic>
      <xdr:nvPicPr>
        <xdr:cNvPr id="43715" name="Imagem 7">
          <a:extLst>
            <a:ext uri="{FF2B5EF4-FFF2-40B4-BE49-F238E27FC236}">
              <a16:creationId xmlns:a16="http://schemas.microsoft.com/office/drawing/2014/main" id="{603CAD2D-4AF1-44BE-B351-4FC565F6F36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09575" y="6219825"/>
          <a:ext cx="1314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36</xdr:row>
      <xdr:rowOff>19050</xdr:rowOff>
    </xdr:from>
    <xdr:to>
      <xdr:col>3</xdr:col>
      <xdr:colOff>409575</xdr:colOff>
      <xdr:row>40</xdr:row>
      <xdr:rowOff>0</xdr:rowOff>
    </xdr:to>
    <xdr:pic>
      <xdr:nvPicPr>
        <xdr:cNvPr id="43716" name="Imagem 8">
          <a:extLst>
            <a:ext uri="{FF2B5EF4-FFF2-40B4-BE49-F238E27FC236}">
              <a16:creationId xmlns:a16="http://schemas.microsoft.com/office/drawing/2014/main" id="{64DE2C38-84E7-48A6-A890-E25184C7314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33375" y="7219950"/>
          <a:ext cx="13049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42</xdr:row>
      <xdr:rowOff>171450</xdr:rowOff>
    </xdr:from>
    <xdr:to>
      <xdr:col>3</xdr:col>
      <xdr:colOff>390525</xdr:colOff>
      <xdr:row>50</xdr:row>
      <xdr:rowOff>76200</xdr:rowOff>
    </xdr:to>
    <xdr:pic>
      <xdr:nvPicPr>
        <xdr:cNvPr id="43717" name="plahover4" descr="Protetor Auricular 14db Tipo Concha PPA06 - Proteplus">
          <a:hlinkClick xmlns:r="http://schemas.openxmlformats.org/officeDocument/2006/relationships" r:id="rId8" tgtFrame="_blank"/>
          <a:extLst>
            <a:ext uri="{FF2B5EF4-FFF2-40B4-BE49-F238E27FC236}">
              <a16:creationId xmlns:a16="http://schemas.microsoft.com/office/drawing/2014/main" id="{F5FE71A6-93B0-41A3-ACA2-C8FC7FD5374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38125" y="8515350"/>
          <a:ext cx="138112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51</xdr:row>
      <xdr:rowOff>123825</xdr:rowOff>
    </xdr:from>
    <xdr:to>
      <xdr:col>3</xdr:col>
      <xdr:colOff>400050</xdr:colOff>
      <xdr:row>57</xdr:row>
      <xdr:rowOff>152400</xdr:rowOff>
    </xdr:to>
    <xdr:pic>
      <xdr:nvPicPr>
        <xdr:cNvPr id="43718" name="plahover2" descr="Óculos Proteção Lateral Incolor Foxter">
          <a:extLst>
            <a:ext uri="{FF2B5EF4-FFF2-40B4-BE49-F238E27FC236}">
              <a16:creationId xmlns:a16="http://schemas.microsoft.com/office/drawing/2014/main" id="{ACDB2932-DFE1-4965-B1EB-341E420B3BC2}"/>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76250" y="10182225"/>
          <a:ext cx="11525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dservidor\Comercial\Setor%20de%20Desenvolvimento\Licita&#231;&#245;es%20-%202006\MG\Betim\CR%20020-2006\Proposta%20Comercial\Composi&#231;&#245;es%20Beti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Judson\CONCORR&#202;NCIAS\CODEVASF\Estudos%20Antigos\Rio%20Acima\PROPOSTA%20ETENGE\proposta%20codevas%20RIO%20ACIMA%20nov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AIDER\Downloads\Users\erica\Downloads\PlanilhaDeComposicaoDeCustosVINA%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L"/>
      <sheetName val="Comp."/>
      <sheetName val="Proposta"/>
      <sheetName val="1 -DOM."/>
      <sheetName val="2 - SEL."/>
      <sheetName val="3 - COMP."/>
      <sheetName val="4 -RSS"/>
      <sheetName val="5 - TRAT."/>
      <sheetName val="6 - VARRIÇÃO"/>
      <sheetName val="7 - SERV.DIV."/>
      <sheetName val="8 - BOCA"/>
      <sheetName val="9 - ATERRO"/>
      <sheetName val="10 - TOP."/>
      <sheetName val="11 - VIGIA"/>
      <sheetName val="12- INSUMOS"/>
      <sheetName val="14-VEIC."/>
      <sheetName val="13- MAQ."/>
      <sheetName val="5 - ADMINISTRAÇÃO LOCAL"/>
      <sheetName val="15- RES. M. O."/>
      <sheetName val="16 -ENC. SOC."/>
      <sheetName val="ADM. LOCAL"/>
      <sheetName val="B.D.I."/>
      <sheetName val="1 _DOM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 XIV Encargos sociais"/>
      <sheetName val="PO XV BDI 30%"/>
      <sheetName val="PO XV BDI 18%"/>
      <sheetName val="PLANILHAVENDA (2)"/>
      <sheetName val="CRONOGRAMA VÁLIDO"/>
      <sheetName val="TABELAORGAO"/>
      <sheetName val="TABELAORGAO (2)"/>
      <sheetName val="FINAL (2)"/>
      <sheetName val="FINAL (3)"/>
      <sheetName val="TABELAORGAOORIGINAL"/>
      <sheetName val="DADOS"/>
      <sheetName val="01.01"/>
      <sheetName val="01.02"/>
      <sheetName val="01.03"/>
      <sheetName val="01.04"/>
      <sheetName val="01.05"/>
      <sheetName val="01.06"/>
      <sheetName val="02.01.01"/>
      <sheetName val="02.01.02"/>
      <sheetName val="02.02.01.01"/>
      <sheetName val="02.02.01.02"/>
      <sheetName val="02.02.02.01"/>
      <sheetName val="02.02.02.02"/>
      <sheetName val="02.02.03.01"/>
      <sheetName val="02.02.03.02"/>
      <sheetName val="02.02.04.01"/>
      <sheetName val="02.02.04.02"/>
      <sheetName val="02.02.05.01"/>
      <sheetName val="02.02.05.02"/>
      <sheetName val="02.02.05.03"/>
      <sheetName val="02.02.06.01"/>
      <sheetName val="02.02.06.02"/>
      <sheetName val="02.02.06.03"/>
      <sheetName val="02.02.07.01"/>
      <sheetName val="02.02.07.02"/>
      <sheetName val="02.02.07.03"/>
      <sheetName val="02.02.07.04"/>
      <sheetName val="02.02.07.05"/>
      <sheetName val="02.02.07.06"/>
      <sheetName val="02.02.07.07"/>
      <sheetName val="02.02.07.08"/>
      <sheetName val="02.02.08.01"/>
      <sheetName val="02.02.08.02"/>
      <sheetName val="02.02.08.03"/>
      <sheetName val="02.02.08.04"/>
      <sheetName val="02.02.08.05"/>
      <sheetName val="02.02.08.06"/>
      <sheetName val="02.02.08.07"/>
      <sheetName val="02.02.08.08"/>
      <sheetName val="02.02.09.01"/>
      <sheetName val="02.02.09.02"/>
      <sheetName val="02.02.09.03"/>
      <sheetName val="02.02.09.04"/>
      <sheetName val="02.02.10.01"/>
      <sheetName val="02.02.10.02"/>
      <sheetName val="02.02.10.03"/>
      <sheetName val="02.02.10.04"/>
      <sheetName val="02.02.10.05"/>
      <sheetName val="02.02.10.06"/>
      <sheetName val="02.02.10.07"/>
      <sheetName val="02.02.10.08"/>
      <sheetName val="02.02.10.09"/>
      <sheetName val="02.02.10.10"/>
      <sheetName val="02.02.10.11"/>
      <sheetName val="02.02.10.12"/>
      <sheetName val="02.02.10.13"/>
      <sheetName val="02.02.10.14"/>
      <sheetName val="02.02.10.15"/>
      <sheetName val="02.02.10.16"/>
      <sheetName val="02.02.10.17"/>
      <sheetName val="02.02.10.19"/>
      <sheetName val="02.02.10.20"/>
      <sheetName val="02.02.10.21"/>
      <sheetName val="02.02.10.24"/>
      <sheetName val="02.02.10.25"/>
      <sheetName val="03.01.02"/>
      <sheetName val="03.05.02"/>
      <sheetName val="03.05.03"/>
      <sheetName val="03.05.04"/>
      <sheetName val="03.05.05"/>
      <sheetName val="03.06.18"/>
      <sheetName val="04.01.01"/>
      <sheetName val="04.01.03"/>
      <sheetName val="04.01.04"/>
      <sheetName val="04.01.05"/>
      <sheetName val="04.01.06"/>
      <sheetName val="04.02.02"/>
      <sheetName val="04.02.04"/>
      <sheetName val="04.02.06"/>
      <sheetName val="04.02.07"/>
      <sheetName val="04.02.08"/>
      <sheetName val="04.02.09"/>
      <sheetName val="04.02.10"/>
      <sheetName val="04.02.11"/>
      <sheetName val="04.02.12"/>
      <sheetName val="04.02.13"/>
      <sheetName val="04.02.14"/>
      <sheetName val="04.02.15"/>
      <sheetName val="04.02.16"/>
      <sheetName val="04.02.17"/>
      <sheetName val="04.02.18"/>
      <sheetName val="04.02.19"/>
      <sheetName val="04.02.20"/>
      <sheetName val="04.02.21"/>
      <sheetName val="04.03.02"/>
      <sheetName val="04.03.03"/>
      <sheetName val="04.03.10"/>
      <sheetName val="04.03.11"/>
      <sheetName val="04.03.13"/>
      <sheetName val="04.03.14"/>
      <sheetName val="04.03.17"/>
      <sheetName val="04.03.18"/>
      <sheetName val="04.03.19"/>
      <sheetName val="04.03.20"/>
      <sheetName val="04.03.21"/>
      <sheetName val="04.03.22"/>
      <sheetName val="04.03.23"/>
      <sheetName val="04.04.07"/>
      <sheetName val="04.04.15"/>
      <sheetName val="04.04.16"/>
      <sheetName val="04.05.07"/>
      <sheetName val="04.05.17"/>
      <sheetName val="04.05.18"/>
      <sheetName val="04.06.04"/>
      <sheetName val="04.06.10"/>
      <sheetName val="04.06.16"/>
      <sheetName val="04.06.17"/>
      <sheetName val="04.06.18"/>
      <sheetName val="04.06.19"/>
      <sheetName val="04.06.20"/>
      <sheetName val="04.06.21"/>
      <sheetName val="04.06.22"/>
      <sheetName val="04.06.23"/>
      <sheetName val="04.06.24"/>
      <sheetName val="04.07.04"/>
      <sheetName val="04.07.08"/>
      <sheetName val="04.07.09"/>
      <sheetName val="04.07.11"/>
      <sheetName val="04.07.12"/>
      <sheetName val="04.07.13"/>
      <sheetName val="04.07.14"/>
      <sheetName val="04.07.15.35"/>
      <sheetName val="04.07.16.01"/>
      <sheetName val="04.07.16.02"/>
      <sheetName val="04.07.16.03"/>
      <sheetName val="04.07.16.04.23"/>
      <sheetName val="04.07.19"/>
      <sheetName val="04.07.20"/>
      <sheetName val="04.07.21"/>
      <sheetName val="04.07.22"/>
      <sheetName val="04.07.24"/>
      <sheetName val="04.07.25"/>
      <sheetName val="04.07.26"/>
      <sheetName val="04.07.27"/>
      <sheetName val="04.07.28"/>
      <sheetName val="04.07.29"/>
      <sheetName val="04.07.30"/>
      <sheetName val="04.08.01"/>
      <sheetName val="04.08.02"/>
      <sheetName val="04.08.03"/>
      <sheetName val="04.08.04"/>
      <sheetName val="04.08.05"/>
      <sheetName val="04.08.06"/>
      <sheetName val="04.08.07"/>
      <sheetName val="04.08.12"/>
      <sheetName val="04.08.13"/>
      <sheetName val="04.08.14"/>
      <sheetName val="04.08.15"/>
      <sheetName val="04.08.16"/>
      <sheetName val="04.08.23"/>
      <sheetName val="04.08.24"/>
      <sheetName val="04.08.25"/>
      <sheetName val="05.01.01.01"/>
      <sheetName val="05.01.03.06"/>
      <sheetName val="05.01.04.01"/>
      <sheetName val="05.01.06.01"/>
      <sheetName val="05.01.07.01"/>
      <sheetName val="05.01.07.02"/>
      <sheetName val="05.01.07.03"/>
      <sheetName val="05.01.09.01"/>
      <sheetName val="05.01.09.02"/>
      <sheetName val="05.01.09.03"/>
      <sheetName val="05.01.09.04"/>
      <sheetName val="05.01.09.05"/>
      <sheetName val="05.01.09.06"/>
      <sheetName val="05.01.09.07"/>
      <sheetName val="05.01.09.08"/>
      <sheetName val="05.01.09.09"/>
      <sheetName val="05.01.09.10"/>
      <sheetName val="05.01.10.01"/>
      <sheetName val="05.01.10.02"/>
      <sheetName val="05.01.11.01"/>
      <sheetName val="05.02.04.02"/>
      <sheetName val="05.02.04.03"/>
      <sheetName val="05.02.05.01"/>
      <sheetName val="05.02.06.01"/>
      <sheetName val="06.01.07"/>
      <sheetName val="06.02.02"/>
      <sheetName val="06.02.03"/>
      <sheetName val="06.02.04"/>
      <sheetName val="06.03.01.01"/>
      <sheetName val="06.03.01.02"/>
      <sheetName val="06.03.01.04"/>
      <sheetName val="06.03.01.05"/>
      <sheetName val="06.03.01.12"/>
      <sheetName val="07.05"/>
      <sheetName val="07.06"/>
      <sheetName val="07.07"/>
      <sheetName val="07.08"/>
      <sheetName val="07.09"/>
      <sheetName val="07.10"/>
      <sheetName val="08.01"/>
      <sheetName val="08.02"/>
      <sheetName val="08.03"/>
      <sheetName val="08.04"/>
      <sheetName val="08.05"/>
    </sheetNames>
    <sheetDataSet>
      <sheetData sheetId="0"/>
      <sheetData sheetId="1"/>
      <sheetData sheetId="2"/>
      <sheetData sheetId="3"/>
      <sheetData sheetId="4"/>
      <sheetData sheetId="5">
        <row r="3">
          <cell r="A3" t="str">
            <v>TOTAL DO ORÇAMENTO</v>
          </cell>
          <cell r="F3">
            <v>6843412.96</v>
          </cell>
        </row>
        <row r="4">
          <cell r="A4" t="str">
            <v>01.</v>
          </cell>
          <cell r="B4" t="str">
            <v xml:space="preserve">SERVIÇOS PRELIMINARES  </v>
          </cell>
          <cell r="F4">
            <v>594055.08000000007</v>
          </cell>
        </row>
        <row r="5">
          <cell r="A5" t="str">
            <v>01.01</v>
          </cell>
          <cell r="B5" t="str">
            <v>MOBILIZAÇÃO DE EQUIPAMENTOS E PESSOAL</v>
          </cell>
          <cell r="C5" t="str">
            <v>VB</v>
          </cell>
          <cell r="D5">
            <v>1</v>
          </cell>
          <cell r="E5">
            <v>49903.54</v>
          </cell>
          <cell r="F5">
            <v>49903.54</v>
          </cell>
        </row>
        <row r="6">
          <cell r="A6" t="str">
            <v>01.02</v>
          </cell>
          <cell r="B6" t="str">
            <v>DESMOBILIZAÇÃO DE EQUIPAMENTOS E PESSOAL</v>
          </cell>
          <cell r="C6" t="str">
            <v>VB</v>
          </cell>
          <cell r="D6">
            <v>1</v>
          </cell>
          <cell r="E6">
            <v>49903.54</v>
          </cell>
          <cell r="F6">
            <v>49903.54</v>
          </cell>
        </row>
        <row r="7">
          <cell r="A7" t="str">
            <v>01.03</v>
          </cell>
          <cell r="B7" t="str">
            <v>INSTALAÇÃO DO CANTEIRO DE OBRAS</v>
          </cell>
          <cell r="C7" t="str">
            <v>M2</v>
          </cell>
          <cell r="D7">
            <v>300</v>
          </cell>
          <cell r="E7">
            <v>206</v>
          </cell>
          <cell r="F7">
            <v>61800</v>
          </cell>
        </row>
        <row r="8">
          <cell r="A8" t="str">
            <v>01.04</v>
          </cell>
          <cell r="B8" t="str">
            <v>MANUTENÇÃO DE CANTEIRO DE OBRAS</v>
          </cell>
          <cell r="C8" t="str">
            <v>MÊS</v>
          </cell>
          <cell r="D8">
            <v>16</v>
          </cell>
          <cell r="E8">
            <v>7500</v>
          </cell>
          <cell r="F8">
            <v>120000</v>
          </cell>
        </row>
        <row r="9">
          <cell r="A9" t="str">
            <v>01.05</v>
          </cell>
          <cell r="B9" t="str">
            <v>ADMINISTAÇÃO LOCAL</v>
          </cell>
          <cell r="C9" t="str">
            <v>MÊS</v>
          </cell>
          <cell r="D9">
            <v>16</v>
          </cell>
          <cell r="E9">
            <v>19000</v>
          </cell>
          <cell r="F9">
            <v>304000</v>
          </cell>
        </row>
        <row r="10">
          <cell r="A10" t="str">
            <v>01.06</v>
          </cell>
          <cell r="B10" t="str">
            <v>PLACA DE OBRA PADRÃO CODEVASF</v>
          </cell>
          <cell r="C10" t="str">
            <v>M2</v>
          </cell>
          <cell r="D10">
            <v>48</v>
          </cell>
          <cell r="E10">
            <v>176</v>
          </cell>
          <cell r="F10">
            <v>8448</v>
          </cell>
        </row>
        <row r="12">
          <cell r="A12" t="str">
            <v>02.</v>
          </cell>
          <cell r="B12" t="str">
            <v xml:space="preserve">REDE COLETORA DE ESGOTOS  </v>
          </cell>
          <cell r="C12" t="str">
            <v xml:space="preserve">      </v>
          </cell>
          <cell r="F12">
            <v>570828.21</v>
          </cell>
        </row>
        <row r="13">
          <cell r="A13" t="str">
            <v>02.01</v>
          </cell>
          <cell r="B13" t="str">
            <v>SERVIÇOS TÉCNICOS</v>
          </cell>
          <cell r="C13" t="str">
            <v xml:space="preserve">      </v>
          </cell>
        </row>
        <row r="14">
          <cell r="A14" t="str">
            <v>02.01.01</v>
          </cell>
          <cell r="B14" t="str">
            <v>LOCAÇÃO DE REDE E ELABORAÇÃO DE NOTA DE SERVIÇO, INCLUSIVE LEVANTAMENTO DE NORMAIS - PARA OBRAS</v>
          </cell>
          <cell r="C14" t="str">
            <v>M</v>
          </cell>
          <cell r="D14">
            <v>2854</v>
          </cell>
          <cell r="E14">
            <v>1.46</v>
          </cell>
          <cell r="F14">
            <v>4166.84</v>
          </cell>
        </row>
        <row r="15">
          <cell r="A15" t="str">
            <v>02.01.02</v>
          </cell>
          <cell r="B15" t="str">
            <v>CADASTRO DE REDE - ESGOTO</v>
          </cell>
          <cell r="C15" t="str">
            <v>M</v>
          </cell>
          <cell r="D15">
            <v>2854</v>
          </cell>
          <cell r="E15">
            <v>0.56000000000000005</v>
          </cell>
          <cell r="F15">
            <v>1598.24</v>
          </cell>
        </row>
        <row r="16">
          <cell r="A16" t="str">
            <v>02.02</v>
          </cell>
          <cell r="B16" t="str">
            <v xml:space="preserve">MOVIMENTO DE TERRA  </v>
          </cell>
          <cell r="F16">
            <v>0</v>
          </cell>
        </row>
        <row r="17">
          <cell r="A17" t="str">
            <v>02.02.01</v>
          </cell>
          <cell r="B17" t="str">
            <v xml:space="preserve">ESCAVAÇÃO MANUAL DE VALAS (SOLO SECO) -         PROFUNDIDADES:  </v>
          </cell>
          <cell r="C17" t="str">
            <v xml:space="preserve">      </v>
          </cell>
          <cell r="F17">
            <v>0</v>
          </cell>
        </row>
        <row r="18">
          <cell r="A18" t="str">
            <v>02.02.01.01</v>
          </cell>
          <cell r="B18" t="str">
            <v>ESCAVAÇÃO MANUAL DE VALAS (SOLO COM ÁGUA), PROFUNDIDADE ATÉ 1,50 M</v>
          </cell>
          <cell r="C18" t="str">
            <v>M3</v>
          </cell>
          <cell r="D18">
            <v>94.94</v>
          </cell>
          <cell r="E18">
            <v>15.39</v>
          </cell>
          <cell r="F18">
            <v>1461.13</v>
          </cell>
        </row>
        <row r="19">
          <cell r="A19" t="str">
            <v>02.02.01.02</v>
          </cell>
          <cell r="B19" t="str">
            <v>ESCAVAÇÃO MANUAL DE VALAS (SOLO COM ÁGUA), PROFUNDIDADE MAIOR QUE 1,50 M ATÉ 3,00 M</v>
          </cell>
          <cell r="C19" t="str">
            <v>M3</v>
          </cell>
          <cell r="D19">
            <v>13.56</v>
          </cell>
          <cell r="E19">
            <v>20.52</v>
          </cell>
          <cell r="F19">
            <v>278.25</v>
          </cell>
        </row>
        <row r="20">
          <cell r="A20" t="str">
            <v>02.02.02</v>
          </cell>
          <cell r="B20" t="str">
            <v xml:space="preserve">ESCAVAÇÃO MANUAL DE VALAS (SOLO COM ÁGUA) - PROFUNDIDADES:  </v>
          </cell>
          <cell r="C20" t="str">
            <v xml:space="preserve">      </v>
          </cell>
          <cell r="F20">
            <v>0</v>
          </cell>
        </row>
        <row r="21">
          <cell r="A21" t="str">
            <v>02.02.02.01</v>
          </cell>
          <cell r="B21" t="str">
            <v>ESCAVAÇÃO MANUAL DE VALAS (SOLO COM ÁGUA), PROFUNDIDADE ATÉ 1,50 M</v>
          </cell>
          <cell r="C21" t="str">
            <v>M3</v>
          </cell>
          <cell r="D21">
            <v>13.56</v>
          </cell>
          <cell r="E21">
            <v>19.239999999999998</v>
          </cell>
          <cell r="F21">
            <v>260.89</v>
          </cell>
        </row>
        <row r="22">
          <cell r="A22" t="str">
            <v>02.02.02.02</v>
          </cell>
          <cell r="B22" t="str">
            <v>ESCAVAÇÃO MANUAL DE VALAS (SOLO COM ÁGUA), PROFUNDIDADE MAIOR QUE 1,50 M ATÉ 3,00 M</v>
          </cell>
          <cell r="C22" t="str">
            <v>M3</v>
          </cell>
          <cell r="D22">
            <v>13.56</v>
          </cell>
          <cell r="E22">
            <v>25.65</v>
          </cell>
          <cell r="F22">
            <v>347.81</v>
          </cell>
        </row>
        <row r="23">
          <cell r="A23" t="str">
            <v>02.02.03</v>
          </cell>
          <cell r="B23" t="str">
            <v xml:space="preserve">ESCAVAÇÃO MECANICA DE VALAS (SOLO SECO)         PROFUNDIDADES:  </v>
          </cell>
          <cell r="C23" t="str">
            <v xml:space="preserve">      </v>
          </cell>
          <cell r="F23">
            <v>0</v>
          </cell>
        </row>
        <row r="24">
          <cell r="A24" t="str">
            <v>02.02.03.01</v>
          </cell>
          <cell r="B24" t="str">
            <v>ESCAVAÇÃO MECÂNICA DE VALAS (SOLO SECO), PROFUNDIDADE ATÉ 1,50 M</v>
          </cell>
          <cell r="C24" t="str">
            <v>M3</v>
          </cell>
          <cell r="D24">
            <v>501.36</v>
          </cell>
          <cell r="E24">
            <v>5.41</v>
          </cell>
          <cell r="F24">
            <v>2712.36</v>
          </cell>
        </row>
        <row r="25">
          <cell r="A25" t="str">
            <v>02.02.03.02</v>
          </cell>
          <cell r="B25" t="str">
            <v>ESCAVAÇÃO MECÂNICA DE VALAS (SOLO SECO), PROFUNDIDADE MAIOR QUE 1,50 M ATÉ 4,00 M</v>
          </cell>
          <cell r="C25" t="str">
            <v>M3</v>
          </cell>
          <cell r="D25">
            <v>95.67</v>
          </cell>
          <cell r="E25">
            <v>6.5</v>
          </cell>
          <cell r="F25">
            <v>621.86</v>
          </cell>
        </row>
        <row r="26">
          <cell r="A26" t="str">
            <v>02.02.04</v>
          </cell>
          <cell r="B26" t="str">
            <v xml:space="preserve">ESCAVAÇÃO MECANICA DE VALAS (SOLO COM ÁGUA) - PROFUNDIDADES:  </v>
          </cell>
          <cell r="C26" t="str">
            <v xml:space="preserve">      </v>
          </cell>
          <cell r="F26">
            <v>0</v>
          </cell>
        </row>
        <row r="27">
          <cell r="A27" t="str">
            <v>02.02.04.01</v>
          </cell>
          <cell r="B27" t="str">
            <v>ESCAVAÇÃO MECÂNICA DE VALAS (SOLO COM ÁGUA), PROFUNDIDADE ATÉ 1,50 M</v>
          </cell>
          <cell r="C27" t="str">
            <v>M3</v>
          </cell>
          <cell r="D27">
            <v>65.78</v>
          </cell>
          <cell r="E27">
            <v>6.5</v>
          </cell>
          <cell r="F27">
            <v>427.57</v>
          </cell>
        </row>
        <row r="28">
          <cell r="A28" t="str">
            <v>02.02.04.02</v>
          </cell>
          <cell r="B28" t="str">
            <v>ESCAVAÇÃO MECÂNICA DE VALAS (SOLO COM ÁGUA), PROFUNDIDADE MAIOR QUE 1,50 M ATÉ 4,00 M</v>
          </cell>
          <cell r="C28" t="str">
            <v>M3</v>
          </cell>
          <cell r="D28">
            <v>65.78</v>
          </cell>
          <cell r="E28">
            <v>7.79</v>
          </cell>
          <cell r="F28">
            <v>512.42999999999995</v>
          </cell>
        </row>
        <row r="29">
          <cell r="A29" t="str">
            <v>02.02.05</v>
          </cell>
          <cell r="B29" t="str">
            <v xml:space="preserve">ESCAVAÇÃO MECANICA DE VALAS (SOLO SECO) COM DESCARGA LATERAL SOBRE CAMINHÃO - PROFUNDIDADES:  </v>
          </cell>
          <cell r="C29" t="str">
            <v xml:space="preserve">      </v>
          </cell>
          <cell r="F29">
            <v>0</v>
          </cell>
        </row>
        <row r="30">
          <cell r="A30" t="str">
            <v>02.02.05.01</v>
          </cell>
          <cell r="B30" t="str">
            <v>ESCAVAÇÃO MECÂNICA DE VALAS (SOLO SECO), PROFUNDIDADE ATÉ 1,50 M</v>
          </cell>
          <cell r="C30" t="str">
            <v>M3</v>
          </cell>
          <cell r="D30">
            <v>2437.15</v>
          </cell>
          <cell r="E30">
            <v>5.41</v>
          </cell>
          <cell r="F30">
            <v>13184.98</v>
          </cell>
        </row>
        <row r="31">
          <cell r="A31" t="str">
            <v>02.02.05.02</v>
          </cell>
          <cell r="B31" t="str">
            <v>ESCAVAÇÃO MECÂNICA DE VALAS (SOLO SECO), PROFUNDIDADE MAIOR QUE 1,50 M ATÉ 4,00 M</v>
          </cell>
          <cell r="C31" t="str">
            <v>M3</v>
          </cell>
          <cell r="D31">
            <v>300</v>
          </cell>
          <cell r="E31">
            <v>6.5</v>
          </cell>
          <cell r="F31">
            <v>1950</v>
          </cell>
        </row>
        <row r="32">
          <cell r="A32" t="str">
            <v>02.02.05.03</v>
          </cell>
          <cell r="B32" t="str">
            <v>ESCAVAÇÃO MECÂNICA DE VALAS (SOLO SECO), PROFUNDIDADE MAIOR QUE 4,00 M ATÉ 6,00 M</v>
          </cell>
          <cell r="C32" t="str">
            <v>M3</v>
          </cell>
          <cell r="D32">
            <v>348.15</v>
          </cell>
          <cell r="E32">
            <v>8.11</v>
          </cell>
          <cell r="F32">
            <v>2823.5</v>
          </cell>
        </row>
        <row r="33">
          <cell r="A33" t="str">
            <v>02.02.06</v>
          </cell>
          <cell r="B33" t="str">
            <v xml:space="preserve">ESCAVAÇÃO MECANICA DE VALAS (SOLO COM ÁGUA) COM DESCARGA LATERAL SOBRE CAMINHÃO- PROFUNDIDADES:  </v>
          </cell>
          <cell r="C33" t="str">
            <v xml:space="preserve">      </v>
          </cell>
          <cell r="F33">
            <v>0</v>
          </cell>
        </row>
        <row r="34">
          <cell r="A34" t="str">
            <v>02.02.06.01</v>
          </cell>
          <cell r="B34" t="str">
            <v>ESCAVAÇÃO MECÂNICA DE VALAS (SOLO COM ÁGUA), PROFUNDIDADE ATÉ 1,50 M</v>
          </cell>
          <cell r="C34" t="str">
            <v>M3</v>
          </cell>
          <cell r="D34">
            <v>348.15</v>
          </cell>
          <cell r="E34">
            <v>6.5</v>
          </cell>
          <cell r="F34">
            <v>2262.98</v>
          </cell>
        </row>
        <row r="35">
          <cell r="A35" t="str">
            <v>02.02.06.02</v>
          </cell>
          <cell r="B35" t="str">
            <v>ESCAVAÇÃO MECÂNICA DE VALAS (SOLO COM ÁGUA), PROFUNDIDADE MAIOR QUE 1,50 M ATÉ 4,00 M</v>
          </cell>
          <cell r="C35" t="str">
            <v>M3</v>
          </cell>
          <cell r="D35">
            <v>300</v>
          </cell>
          <cell r="E35">
            <v>7.79</v>
          </cell>
          <cell r="F35">
            <v>2337</v>
          </cell>
        </row>
        <row r="36">
          <cell r="A36" t="str">
            <v>02.02.06.03</v>
          </cell>
          <cell r="B36" t="str">
            <v>ESCAVAÇÃO MECÂNICA DE VALAS (SOLO COM ÁGUA), PROFUNDIDADE MAIOR QUE 4,00 M ATÉ 6,00 M</v>
          </cell>
          <cell r="C36" t="str">
            <v>M3</v>
          </cell>
          <cell r="D36">
            <v>348.15</v>
          </cell>
          <cell r="E36">
            <v>9.74</v>
          </cell>
          <cell r="F36">
            <v>3390.98</v>
          </cell>
        </row>
        <row r="37">
          <cell r="A37" t="str">
            <v>02.02.07</v>
          </cell>
          <cell r="B37" t="str">
            <v xml:space="preserve">TERRAPLENAGEM  </v>
          </cell>
          <cell r="C37" t="str">
            <v xml:space="preserve">      </v>
          </cell>
          <cell r="F37">
            <v>0</v>
          </cell>
        </row>
        <row r="38">
          <cell r="A38" t="str">
            <v>02.02.07.01</v>
          </cell>
          <cell r="B38" t="str">
            <v>ESCAVACAO E CARGA EM MATERIAL DE PRIMEIRA CATEGORIA</v>
          </cell>
          <cell r="C38" t="str">
            <v>M3</v>
          </cell>
          <cell r="D38">
            <v>854.98</v>
          </cell>
          <cell r="E38">
            <v>4.66</v>
          </cell>
          <cell r="F38">
            <v>3984.21</v>
          </cell>
        </row>
        <row r="39">
          <cell r="A39" t="str">
            <v>02.02.07.02</v>
          </cell>
          <cell r="B39" t="str">
            <v>ACERTO E VERIFICAÇÃO DO NIVELAMENTO DE FUNDO DE VALAS</v>
          </cell>
          <cell r="C39" t="str">
            <v>M2</v>
          </cell>
          <cell r="D39">
            <v>2283.1999999999998</v>
          </cell>
          <cell r="E39">
            <v>2.56</v>
          </cell>
          <cell r="F39">
            <v>5844.99</v>
          </cell>
        </row>
        <row r="40">
          <cell r="A40" t="str">
            <v>02.02.07.03</v>
          </cell>
          <cell r="B40" t="str">
            <v>CARGA OU DESCARGA MECANICA(MAT. EM GERAL) S/ MANUSEIO E ARRUMACAO DO MATERIAL</v>
          </cell>
          <cell r="C40" t="str">
            <v>M3</v>
          </cell>
          <cell r="D40">
            <v>2222.9499999999998</v>
          </cell>
          <cell r="E40">
            <v>2.2799999999999998</v>
          </cell>
          <cell r="F40">
            <v>5068.33</v>
          </cell>
        </row>
        <row r="41">
          <cell r="A41" t="str">
            <v>02.02.07.04</v>
          </cell>
          <cell r="B41" t="str">
            <v>TRANSP. A GRANEL ( MAT. EM GERAL), DIST. ATE 1 KM</v>
          </cell>
          <cell r="C41" t="str">
            <v>M3</v>
          </cell>
          <cell r="D41">
            <v>2222.9499999999998</v>
          </cell>
          <cell r="E41">
            <v>0.99</v>
          </cell>
          <cell r="F41">
            <v>2200.7199999999998</v>
          </cell>
        </row>
        <row r="42">
          <cell r="A42" t="str">
            <v>02.02.07.05</v>
          </cell>
          <cell r="B42" t="str">
            <v>ADICIONAL DE PRECO P/ TRANSP. LOCAL(MAT. EM GERAL), A GRANEL, DISTANCIA EXCEDENTE A 1 KM</v>
          </cell>
          <cell r="C42" t="str">
            <v>M3XKM</v>
          </cell>
          <cell r="D42">
            <v>8891.7999999999993</v>
          </cell>
          <cell r="E42">
            <v>1.3</v>
          </cell>
          <cell r="F42">
            <v>11559.34</v>
          </cell>
        </row>
        <row r="43">
          <cell r="A43" t="str">
            <v>02.02.07.06</v>
          </cell>
          <cell r="B43" t="str">
            <v>ESPALHAMENTO DE SOLO EM BOTA FORA</v>
          </cell>
          <cell r="C43" t="str">
            <v>M3</v>
          </cell>
          <cell r="D43">
            <v>2222.9499999999998</v>
          </cell>
          <cell r="E43">
            <v>1.65</v>
          </cell>
          <cell r="F43">
            <v>3667.87</v>
          </cell>
        </row>
        <row r="44">
          <cell r="A44" t="str">
            <v>02.02.07.07</v>
          </cell>
          <cell r="B44" t="str">
            <v>ATERRO DE VALAS E CAVAS DE FUNDAÇÃO, C/ CONTROLE DO GRAU DE COMPACTAÇÃO DE NO MÍNIMO 97% DO PROCTOR NORMAL</v>
          </cell>
          <cell r="C44" t="str">
            <v>M3</v>
          </cell>
          <cell r="D44">
            <v>5023.04</v>
          </cell>
          <cell r="E44">
            <v>13.01</v>
          </cell>
          <cell r="F44">
            <v>65349.75</v>
          </cell>
        </row>
        <row r="45">
          <cell r="A45" t="str">
            <v>02.02.07.08</v>
          </cell>
          <cell r="B45" t="str">
            <v>ESCAVAÇÃO E CARGA MECÂNICA DE VALAS, EM ROCHA DURA, A FRIO</v>
          </cell>
          <cell r="C45" t="str">
            <v>M3</v>
          </cell>
          <cell r="D45">
            <v>50.23</v>
          </cell>
          <cell r="E45">
            <v>57.95</v>
          </cell>
          <cell r="F45">
            <v>2910.83</v>
          </cell>
        </row>
        <row r="46">
          <cell r="A46" t="str">
            <v>02.02.08</v>
          </cell>
          <cell r="B46" t="str">
            <v>FUNDAÇÕES / ESTRUTURAS</v>
          </cell>
          <cell r="C46" t="str">
            <v xml:space="preserve">      </v>
          </cell>
          <cell r="F46">
            <v>0</v>
          </cell>
        </row>
        <row r="47">
          <cell r="A47" t="str">
            <v>02.02.08.01</v>
          </cell>
          <cell r="B47" t="str">
            <v>ESTRUTURA DE ESCORAMENTO, TIPO PONTALETEAMENTO</v>
          </cell>
          <cell r="C47" t="str">
            <v>M2</v>
          </cell>
          <cell r="D47">
            <v>1109.6300000000001</v>
          </cell>
          <cell r="E47">
            <v>3.46</v>
          </cell>
          <cell r="F47">
            <v>3839.32</v>
          </cell>
        </row>
        <row r="48">
          <cell r="A48" t="str">
            <v>02.02.08.02</v>
          </cell>
          <cell r="B48" t="str">
            <v>ESTRUTURA DE ESCORAMENTO CONTINUA</v>
          </cell>
          <cell r="C48" t="str">
            <v>M2</v>
          </cell>
          <cell r="D48">
            <v>410.98</v>
          </cell>
          <cell r="E48">
            <v>17.809999999999999</v>
          </cell>
          <cell r="F48">
            <v>7319.55</v>
          </cell>
        </row>
        <row r="49">
          <cell r="A49" t="str">
            <v>02.02.08.03</v>
          </cell>
          <cell r="B49" t="str">
            <v>ESTRUTURA DE ESCORAMENTO DESCONTÍNUA</v>
          </cell>
          <cell r="C49" t="str">
            <v>M2</v>
          </cell>
          <cell r="D49">
            <v>410.98</v>
          </cell>
          <cell r="E49">
            <v>7.86</v>
          </cell>
          <cell r="F49">
            <v>3230.3</v>
          </cell>
        </row>
        <row r="50">
          <cell r="A50" t="str">
            <v>02.02.08.04</v>
          </cell>
          <cell r="B50" t="str">
            <v>ESTRUTURA DE ESCORAMENTO CONTÍNUO METÁLICO DE VALAS, TIPO ESTACA PRANCHA</v>
          </cell>
          <cell r="C50" t="str">
            <v>M2</v>
          </cell>
          <cell r="D50">
            <v>579.15</v>
          </cell>
          <cell r="E50">
            <v>144.97</v>
          </cell>
          <cell r="F50">
            <v>83959.38</v>
          </cell>
        </row>
        <row r="51">
          <cell r="A51" t="str">
            <v>02.02.08.05</v>
          </cell>
          <cell r="B51" t="str">
            <v>ESGOTAMENTO DE ÁGUA C/ BOMBAS, VAZÕES ATÉ 15 M3/H, ALTURA ATÉ 10M</v>
          </cell>
          <cell r="C51" t="str">
            <v>Hpxh</v>
          </cell>
          <cell r="D51">
            <v>250</v>
          </cell>
          <cell r="E51">
            <v>2.62</v>
          </cell>
          <cell r="F51">
            <v>655</v>
          </cell>
        </row>
        <row r="52">
          <cell r="A52" t="str">
            <v>02.02.08.06</v>
          </cell>
          <cell r="B52" t="str">
            <v>DRENAGEM COM TUBOS PERFURADOS DE CERÂMICA, DIÂMETRO = 100 MM</v>
          </cell>
          <cell r="C52" t="str">
            <v>M</v>
          </cell>
          <cell r="D52">
            <v>142.69999999999999</v>
          </cell>
          <cell r="E52">
            <v>14.43</v>
          </cell>
          <cell r="F52">
            <v>2059.16</v>
          </cell>
        </row>
        <row r="53">
          <cell r="A53" t="str">
            <v>02.02.08.07</v>
          </cell>
          <cell r="B53" t="str">
            <v>DRENAGEM COM PEDRA BRITADA</v>
          </cell>
          <cell r="C53" t="str">
            <v>M</v>
          </cell>
          <cell r="D53">
            <v>17.12</v>
          </cell>
          <cell r="E53">
            <v>56.48</v>
          </cell>
          <cell r="F53">
            <v>966.94</v>
          </cell>
        </row>
        <row r="54">
          <cell r="A54" t="str">
            <v>02.02.08.08</v>
          </cell>
          <cell r="B54" t="str">
            <v xml:space="preserve">RECUPERAÇÃO E REVEGETAÇÃO DA ÁREA DE EMPRÉSTIMO          </v>
          </cell>
          <cell r="C54" t="str">
            <v>M2</v>
          </cell>
          <cell r="D54">
            <v>710</v>
          </cell>
          <cell r="E54">
            <v>8.83</v>
          </cell>
          <cell r="F54">
            <v>6269.3</v>
          </cell>
        </row>
        <row r="55">
          <cell r="A55" t="str">
            <v>02.02.09</v>
          </cell>
          <cell r="B55" t="str">
            <v>FORNECIMENTO E ASSENTAMENTO DE MATERIAIS</v>
          </cell>
          <cell r="C55" t="str">
            <v xml:space="preserve">      </v>
          </cell>
          <cell r="F55">
            <v>0</v>
          </cell>
        </row>
        <row r="56">
          <cell r="A56" t="str">
            <v>02.02.09.01</v>
          </cell>
          <cell r="B56" t="str">
            <v>ASSENTAMENTO TUBO PVC JE REFORCADO P/ESGOTO DN 150MM</v>
          </cell>
          <cell r="C56" t="str">
            <v>M</v>
          </cell>
          <cell r="D56">
            <v>2110</v>
          </cell>
          <cell r="E56">
            <v>1.88</v>
          </cell>
          <cell r="F56">
            <v>3966.8</v>
          </cell>
        </row>
        <row r="57">
          <cell r="A57" t="str">
            <v>02.02.09.02</v>
          </cell>
          <cell r="B57" t="str">
            <v>ASSENTAMENTO TUBO PVC JE REFORCADO P/ESGOTO DN 200MM</v>
          </cell>
          <cell r="C57" t="str">
            <v>M</v>
          </cell>
          <cell r="D57">
            <v>1428</v>
          </cell>
          <cell r="E57">
            <v>1.88</v>
          </cell>
          <cell r="F57">
            <v>2684.64</v>
          </cell>
        </row>
        <row r="58">
          <cell r="A58" t="str">
            <v>02.02.09.03</v>
          </cell>
          <cell r="B58" t="str">
            <v>ASSENTAMENTO TUBO CERÂMICO VITRADO JE P/ESGOTO DN 150MM</v>
          </cell>
          <cell r="C58" t="str">
            <v>M</v>
          </cell>
          <cell r="D58">
            <v>210</v>
          </cell>
          <cell r="E58">
            <v>2.34</v>
          </cell>
          <cell r="F58">
            <v>491.4</v>
          </cell>
        </row>
        <row r="59">
          <cell r="A59" t="str">
            <v>02.02.09.04</v>
          </cell>
          <cell r="B59" t="str">
            <v>ASSENTAMENTO TUBO CERÂMICO VITRADO JE P/ESGOTO DN 200MM</v>
          </cell>
          <cell r="C59" t="str">
            <v>M</v>
          </cell>
          <cell r="D59">
            <v>106</v>
          </cell>
          <cell r="E59">
            <v>2.97</v>
          </cell>
          <cell r="F59">
            <v>314.82</v>
          </cell>
        </row>
        <row r="60">
          <cell r="A60" t="str">
            <v>02.02.09.05</v>
          </cell>
          <cell r="B60" t="str">
            <v>MATERIAIS</v>
          </cell>
          <cell r="F60">
            <v>0</v>
          </cell>
        </row>
        <row r="61">
          <cell r="A61" t="str">
            <v>02.02.09.05.01</v>
          </cell>
          <cell r="B61" t="str">
            <v>TUBO PVC REFORCADO P/ESGOTO DN 150MM JE</v>
          </cell>
          <cell r="C61" t="str">
            <v>M</v>
          </cell>
          <cell r="D61">
            <v>2110</v>
          </cell>
          <cell r="E61">
            <v>18.3</v>
          </cell>
          <cell r="F61">
            <v>38613</v>
          </cell>
        </row>
        <row r="62">
          <cell r="A62" t="str">
            <v>02.02.09.05.02</v>
          </cell>
          <cell r="B62" t="str">
            <v>TUBO PVC REFORCADO P/ESGOTO DN 200MM JE</v>
          </cell>
          <cell r="C62" t="str">
            <v>M</v>
          </cell>
          <cell r="D62">
            <v>1428</v>
          </cell>
          <cell r="E62">
            <v>28.29</v>
          </cell>
          <cell r="F62">
            <v>40398.120000000003</v>
          </cell>
        </row>
        <row r="63">
          <cell r="A63" t="str">
            <v>02.02.09.05.03</v>
          </cell>
          <cell r="B63" t="str">
            <v>TUBO CERÂMICO VITRADO JE P/ESGOTO DN 150MM</v>
          </cell>
          <cell r="C63" t="str">
            <v>M</v>
          </cell>
          <cell r="D63">
            <v>210</v>
          </cell>
          <cell r="E63">
            <v>11.99</v>
          </cell>
          <cell r="F63">
            <v>2517.9</v>
          </cell>
        </row>
        <row r="64">
          <cell r="A64" t="str">
            <v>02.02.09.05.04</v>
          </cell>
          <cell r="B64" t="str">
            <v>TUBO CERÂMICO VITRADO JE P/ESGOTO DN 200MM</v>
          </cell>
          <cell r="C64" t="str">
            <v>M</v>
          </cell>
          <cell r="D64">
            <v>106</v>
          </cell>
          <cell r="E64">
            <v>20.87</v>
          </cell>
          <cell r="F64">
            <v>2212.2199999999998</v>
          </cell>
        </row>
        <row r="65">
          <cell r="A65" t="str">
            <v>02.02.10</v>
          </cell>
          <cell r="B65" t="str">
            <v xml:space="preserve">SERVIÇOS COMPLEMENTARES  </v>
          </cell>
          <cell r="C65" t="str">
            <v xml:space="preserve">      </v>
          </cell>
          <cell r="E65">
            <v>0</v>
          </cell>
          <cell r="F65">
            <v>0</v>
          </cell>
        </row>
        <row r="66">
          <cell r="A66" t="str">
            <v>02.02.10.01</v>
          </cell>
          <cell r="B66" t="str">
            <v>DEMOLIÇÃO DE PAVIMENTO ASFÁLTICO, FAIXAS MENORES OU IGUAIS A 2,00 M</v>
          </cell>
          <cell r="C66" t="str">
            <v>M2</v>
          </cell>
          <cell r="D66">
            <v>1260</v>
          </cell>
          <cell r="E66">
            <v>4.8600000000000003</v>
          </cell>
          <cell r="F66">
            <v>6123.6</v>
          </cell>
        </row>
        <row r="67">
          <cell r="A67" t="str">
            <v>02.02.10.02</v>
          </cell>
          <cell r="B67" t="str">
            <v>RECOMPOSIÇÃO DE PAVIMENTO EM POLIÉDRICO, COM REAPROVEITAMENTO DO MATERIAL DEMOLIDO</v>
          </cell>
          <cell r="C67" t="str">
            <v>M2</v>
          </cell>
          <cell r="D67">
            <v>2900</v>
          </cell>
          <cell r="E67">
            <v>20.84</v>
          </cell>
          <cell r="F67">
            <v>60436</v>
          </cell>
        </row>
        <row r="68">
          <cell r="A68" t="str">
            <v>02.02.10.03</v>
          </cell>
          <cell r="B68" t="str">
            <v>REGULARIZAÇÃO DE SUB-LEITO, PARA FAIXAS COM LARGURA MAIOR QUE 3,50 M</v>
          </cell>
          <cell r="C68" t="str">
            <v>M2</v>
          </cell>
          <cell r="D68">
            <v>1260</v>
          </cell>
          <cell r="E68">
            <v>0.88</v>
          </cell>
          <cell r="F68">
            <v>1108.8</v>
          </cell>
        </row>
        <row r="69">
          <cell r="A69" t="str">
            <v>02.02.10.04</v>
          </cell>
          <cell r="B69" t="str">
            <v>SUB-BASE E BASE (SOLO ESTABILIZADO GRANULOMETRICAMENTE, SEM MISTURA), SEM FORNECIMENTO DE MATERIAL, PARA FAIXAS COM LARGURA MAIOR QUE 3,50 M</v>
          </cell>
          <cell r="C69" t="str">
            <v>M2</v>
          </cell>
          <cell r="D69">
            <v>1260</v>
          </cell>
          <cell r="E69">
            <v>1.71</v>
          </cell>
          <cell r="F69">
            <v>2154.6</v>
          </cell>
        </row>
        <row r="70">
          <cell r="A70" t="str">
            <v>02.02.10.05</v>
          </cell>
          <cell r="B70" t="str">
            <v>BASE DE BRITA GRADUADA COMPACTADA</v>
          </cell>
          <cell r="C70" t="str">
            <v>M3</v>
          </cell>
          <cell r="D70">
            <v>126</v>
          </cell>
          <cell r="E70">
            <v>65.05</v>
          </cell>
          <cell r="F70">
            <v>8196.2999999999993</v>
          </cell>
        </row>
        <row r="71">
          <cell r="A71" t="str">
            <v>02.02.10.06</v>
          </cell>
          <cell r="B71" t="str">
            <v>IMPRIMAÇÃO COM CM-30, INCLUSIVE FORNECIMENTO E TRANSPORTE DE MATERIAL</v>
          </cell>
          <cell r="C71" t="str">
            <v>M2</v>
          </cell>
          <cell r="D71">
            <v>1260</v>
          </cell>
          <cell r="E71">
            <v>3.41</v>
          </cell>
          <cell r="F71">
            <v>4296.6000000000004</v>
          </cell>
        </row>
        <row r="72">
          <cell r="A72" t="str">
            <v>02.02.10.07</v>
          </cell>
          <cell r="B72" t="str">
            <v>PINTURA DE LIGAÇÃO COM RR-1C, INCLUSIVE FORNECIMENTO E TRANSPORTE DE MATERIAL</v>
          </cell>
          <cell r="C72" t="str">
            <v>M2</v>
          </cell>
          <cell r="D72">
            <v>1260</v>
          </cell>
          <cell r="E72">
            <v>3.41</v>
          </cell>
          <cell r="F72">
            <v>4296.6000000000004</v>
          </cell>
        </row>
        <row r="73">
          <cell r="A73" t="str">
            <v>02.02.10.08</v>
          </cell>
          <cell r="B73" t="str">
            <v>PAVIMENTO ASFÁLTICO EM C.B.U.Q., FAIXA "C", ESPESSURA DA CAPA DE 3,5 CM, EXCLUSIVE BASE, PARA FAIXA DE LARGURA ATÉ 3,50 M</v>
          </cell>
          <cell r="C73" t="str">
            <v>M2</v>
          </cell>
          <cell r="D73">
            <v>1260</v>
          </cell>
          <cell r="E73">
            <v>24.88</v>
          </cell>
          <cell r="F73">
            <v>31348.799999999999</v>
          </cell>
        </row>
        <row r="74">
          <cell r="A74" t="str">
            <v>02.02.10.09</v>
          </cell>
          <cell r="B74" t="str">
            <v>RECOMPOSIÇÃO DE PAVIMENTO EM POLIÉDRICO, COM REAPROVEITAMENTO DO MATERIAL DEMOLIDO</v>
          </cell>
          <cell r="C74" t="str">
            <v>M2</v>
          </cell>
          <cell r="D74">
            <v>2900</v>
          </cell>
          <cell r="E74">
            <v>20.84</v>
          </cell>
          <cell r="F74">
            <v>60436</v>
          </cell>
        </row>
        <row r="75">
          <cell r="A75" t="str">
            <v>02.02.10.10</v>
          </cell>
          <cell r="B75" t="str">
            <v>POÇO DE VISITA ALTURA = 1.50 M (BALÃO: DIÂMETRO = 1.00 M, ALTURA =1.00 M), EM ANÉIS PRÉ-MOLDADOS DE CONCRETO</v>
          </cell>
          <cell r="C75" t="str">
            <v>U</v>
          </cell>
          <cell r="D75">
            <v>8</v>
          </cell>
          <cell r="E75">
            <v>572.51</v>
          </cell>
          <cell r="F75">
            <v>4580.08</v>
          </cell>
        </row>
        <row r="76">
          <cell r="A76" t="str">
            <v>02.02.10.11</v>
          </cell>
          <cell r="B76" t="str">
            <v>ADICIONAL DE PREÇO P/ ACRÉSCIMO NA ALTURA DE POÇO DE VISITA EM ANÉIS PRÉ-MOLDADOS DE CONCRETO (BALÃO: DIÂMETRO = 1.00 M)</v>
          </cell>
          <cell r="C76" t="str">
            <v>M</v>
          </cell>
          <cell r="D76">
            <v>25.5</v>
          </cell>
          <cell r="E76">
            <v>148.09</v>
          </cell>
          <cell r="F76">
            <v>3776.3</v>
          </cell>
        </row>
        <row r="77">
          <cell r="A77" t="str">
            <v>02.02.10.12</v>
          </cell>
          <cell r="B77" t="str">
            <v>POÇO DE VISITA (ALTURA = 1.00 M E BALÃO: DIÂMETRO = 0.60 M ), EM TUBOS PRÉ-MOLDADOS DE CONCRETO</v>
          </cell>
          <cell r="C77" t="str">
            <v>U</v>
          </cell>
          <cell r="D77">
            <v>5</v>
          </cell>
          <cell r="E77">
            <v>103.9</v>
          </cell>
          <cell r="F77">
            <v>519.5</v>
          </cell>
        </row>
        <row r="78">
          <cell r="A78" t="str">
            <v>02.02.10.13</v>
          </cell>
          <cell r="B78" t="str">
            <v>ADICIONAL DE PREÇO P/ ACRÉSCIMO NA ALTURA DE POÇO DE VISITA EM ANÉIS PRÉ-MOLDADOS DE CONCRETO (BALÃO: DIÂMETRO = 0,60 M)</v>
          </cell>
          <cell r="C78" t="str">
            <v>M</v>
          </cell>
          <cell r="D78">
            <v>8</v>
          </cell>
          <cell r="E78">
            <v>103.9</v>
          </cell>
          <cell r="F78">
            <v>831.2</v>
          </cell>
        </row>
        <row r="79">
          <cell r="A79" t="str">
            <v>02.02.10.14</v>
          </cell>
          <cell r="B79" t="str">
            <v>TUBO DE QUEDA(MANILHA CERAMICA DIAM.=200MM)ALT.1,00 M, FORNECIMENTO E ASSENTAMENTO</v>
          </cell>
          <cell r="C79" t="str">
            <v>U</v>
          </cell>
          <cell r="D79">
            <v>2</v>
          </cell>
          <cell r="E79">
            <v>41.39</v>
          </cell>
          <cell r="F79">
            <v>82.78</v>
          </cell>
        </row>
        <row r="80">
          <cell r="A80" t="str">
            <v>02.02.10.15</v>
          </cell>
          <cell r="B80" t="str">
            <v>ADICIONAL DE PREÇO P/ ACRÉSCIMO NA ALTURA DE TUBO DE QUEDA (MANIHA CERÂMICA DIÂMETRO = 200 MM)</v>
          </cell>
          <cell r="C80" t="str">
            <v>M</v>
          </cell>
          <cell r="D80">
            <v>2.1</v>
          </cell>
          <cell r="E80">
            <v>41.03</v>
          </cell>
          <cell r="F80">
            <v>86.16</v>
          </cell>
        </row>
        <row r="81">
          <cell r="A81" t="str">
            <v>02.02.10.16</v>
          </cell>
          <cell r="B81" t="str">
            <v>POÇO DE VISITA ALTURA = 1.50 M (BALÃO: DIÂMETRO = 1.00 M, ALTURA =1.00 M), EM ALVENARIA TIJOLOS MACIÇOS E = 20 CM</v>
          </cell>
          <cell r="C81" t="str">
            <v>U</v>
          </cell>
          <cell r="D81">
            <v>17</v>
          </cell>
          <cell r="E81">
            <v>334.77</v>
          </cell>
          <cell r="F81">
            <v>5691.09</v>
          </cell>
        </row>
        <row r="82">
          <cell r="A82" t="str">
            <v>02.02.10.17</v>
          </cell>
          <cell r="B82" t="str">
            <v>ADICIONAL DE PREÇO P/ ACRÉSCIMO NA ALTURA DE POÇO DE VISITA EM ALVENARIA (BALÃO: DIÂMETRO = 0,60 M)</v>
          </cell>
          <cell r="C82" t="str">
            <v>M</v>
          </cell>
          <cell r="D82">
            <v>9.84</v>
          </cell>
          <cell r="E82">
            <v>22.36</v>
          </cell>
          <cell r="F82">
            <v>220.02</v>
          </cell>
        </row>
        <row r="83">
          <cell r="A83" t="str">
            <v>02.02.10.18</v>
          </cell>
          <cell r="B83" t="str">
            <v xml:space="preserve">FORNECIMENTO DE TAMPÃO DE FERRO FUNDIDO CINZENTO SEGUNDO A NBR 6589, CARGA DE RUPTURA 30 TON E DN 600 MM  </v>
          </cell>
          <cell r="C83" t="str">
            <v>U</v>
          </cell>
          <cell r="D83">
            <v>30</v>
          </cell>
          <cell r="E83">
            <v>271.37</v>
          </cell>
          <cell r="F83">
            <v>8141.1</v>
          </cell>
        </row>
        <row r="84">
          <cell r="A84" t="str">
            <v>02.02.10.19</v>
          </cell>
          <cell r="B84" t="str">
            <v>ASSENTAMENTO DE TAMPÃO DE FERRO FUNDIDO</v>
          </cell>
          <cell r="C84" t="str">
            <v>U</v>
          </cell>
          <cell r="D84">
            <v>30</v>
          </cell>
          <cell r="E84">
            <v>26.79</v>
          </cell>
          <cell r="F84">
            <v>803.7</v>
          </cell>
        </row>
        <row r="85">
          <cell r="A85" t="str">
            <v>02.02.10.20</v>
          </cell>
          <cell r="B85" t="str">
            <v>EXECUÇÃO DOS SERVIÇOS DE RETIRADA DAS MANILHAS CERÂMICAS EXISTENTES DAS VALAS PARA SUBSTITUIÇÃO POR NOVAS COM DN 150 MM</v>
          </cell>
          <cell r="C85" t="str">
            <v>M</v>
          </cell>
          <cell r="D85">
            <v>210</v>
          </cell>
          <cell r="E85">
            <v>6.33</v>
          </cell>
          <cell r="F85">
            <v>1329.3</v>
          </cell>
        </row>
        <row r="86">
          <cell r="A86" t="str">
            <v>02.02.10.21</v>
          </cell>
          <cell r="B86" t="str">
            <v>EXECUÇÃO DOS SERVIÇOS DE RETIRADA DAS MANILHAS CERÂMICAS EXISTENTES DAS VALAS PARA SUBSTITUIÇÃO POR NOVAS COM DN 200MM</v>
          </cell>
          <cell r="C86" t="str">
            <v>M</v>
          </cell>
          <cell r="D86">
            <v>106</v>
          </cell>
          <cell r="E86">
            <v>7.32</v>
          </cell>
          <cell r="F86">
            <v>775.92</v>
          </cell>
        </row>
        <row r="87">
          <cell r="A87" t="str">
            <v>02.02.10.22</v>
          </cell>
          <cell r="B87" t="str">
            <v>TRANSP. A GRANEL ( MAT. EM GERAL), DIST. ATE 1 KM</v>
          </cell>
          <cell r="C87" t="str">
            <v>M3</v>
          </cell>
          <cell r="D87">
            <v>776.26</v>
          </cell>
          <cell r="E87">
            <v>0.99</v>
          </cell>
          <cell r="F87">
            <v>768.5</v>
          </cell>
        </row>
        <row r="88">
          <cell r="A88" t="str">
            <v>02.02.10.23</v>
          </cell>
          <cell r="B88" t="str">
            <v>ADICIONAL DE PRECO P/ TRANSP. LOCAL(MAT. EM GERAL), A GRANEL, DISTANCIA EXCEDENTE A 1 KM</v>
          </cell>
          <cell r="C88" t="str">
            <v>M3XKM</v>
          </cell>
          <cell r="D88">
            <v>3105.04</v>
          </cell>
          <cell r="E88">
            <v>1.3</v>
          </cell>
          <cell r="F88">
            <v>4036.55</v>
          </cell>
        </row>
        <row r="89">
          <cell r="A89" t="str">
            <v>02.02.10.24</v>
          </cell>
          <cell r="B89" t="str">
            <v>TRAVESSIA METALICA P/ VEICULOS</v>
          </cell>
          <cell r="C89" t="str">
            <v>U</v>
          </cell>
          <cell r="D89">
            <v>300</v>
          </cell>
          <cell r="E89">
            <v>34.6</v>
          </cell>
          <cell r="F89">
            <v>10380</v>
          </cell>
        </row>
        <row r="90">
          <cell r="A90" t="str">
            <v>02.02.10.25</v>
          </cell>
          <cell r="B90" t="str">
            <v>PASSADICO DE MADEIRA P/ PEDESTRES</v>
          </cell>
          <cell r="C90" t="str">
            <v>U</v>
          </cell>
          <cell r="D90">
            <v>600</v>
          </cell>
          <cell r="E90">
            <v>19.98</v>
          </cell>
          <cell r="F90">
            <v>11988</v>
          </cell>
        </row>
        <row r="91">
          <cell r="A91" t="str">
            <v>03.</v>
          </cell>
          <cell r="B91" t="str">
            <v xml:space="preserve">INTERCEPTORES  </v>
          </cell>
          <cell r="C91" t="str">
            <v xml:space="preserve">      </v>
          </cell>
          <cell r="F91">
            <v>3029741.7199999993</v>
          </cell>
        </row>
        <row r="92">
          <cell r="A92" t="str">
            <v>03.01</v>
          </cell>
          <cell r="B92" t="str">
            <v>SERVIÇOS TECNICOS</v>
          </cell>
          <cell r="C92" t="str">
            <v xml:space="preserve">      </v>
          </cell>
        </row>
        <row r="93">
          <cell r="A93" t="str">
            <v>03.01.01</v>
          </cell>
          <cell r="B93" t="str">
            <v>LOCAÇÃO DE REDE E ELABORAÇÃO DE NOTA DE SERVIÇO, INCLUSIVE LEVANTAMENTO DE NORMAIS - PARA OBRAS</v>
          </cell>
          <cell r="C93" t="str">
            <v>M</v>
          </cell>
          <cell r="D93">
            <v>17264.78</v>
          </cell>
          <cell r="E93">
            <v>1.46</v>
          </cell>
          <cell r="F93">
            <v>25206.58</v>
          </cell>
        </row>
        <row r="94">
          <cell r="A94" t="str">
            <v>03.01.02</v>
          </cell>
          <cell r="B94" t="str">
            <v>LIMPEZA DO TERRENO C/ ROCADO E QUEIMA DE MATERIAL</v>
          </cell>
          <cell r="C94" t="str">
            <v>M2</v>
          </cell>
          <cell r="D94">
            <v>20717.740000000002</v>
          </cell>
          <cell r="E94">
            <v>1.54</v>
          </cell>
          <cell r="F94">
            <v>31905.32</v>
          </cell>
        </row>
        <row r="95">
          <cell r="A95" t="str">
            <v>03.01.03</v>
          </cell>
          <cell r="B95" t="str">
            <v>CADASTRO DE REDE - ESGOTO</v>
          </cell>
          <cell r="C95" t="str">
            <v>M</v>
          </cell>
          <cell r="D95">
            <v>17264.78</v>
          </cell>
          <cell r="E95">
            <v>0.56000000000000005</v>
          </cell>
          <cell r="F95">
            <v>9668.2800000000007</v>
          </cell>
        </row>
        <row r="96">
          <cell r="A96" t="str">
            <v>03.02</v>
          </cell>
          <cell r="B96" t="str">
            <v xml:space="preserve">MOVIMENTO DE TERRA  </v>
          </cell>
          <cell r="F96">
            <v>0</v>
          </cell>
        </row>
        <row r="97">
          <cell r="A97" t="str">
            <v>03.02.01</v>
          </cell>
          <cell r="B97" t="str">
            <v xml:space="preserve">ESCAVAÇÃO MANUAL DE VALAS (SOLO SECO)            PROFUNDIDADES:  </v>
          </cell>
          <cell r="C97" t="str">
            <v xml:space="preserve">      </v>
          </cell>
          <cell r="F97">
            <v>0</v>
          </cell>
        </row>
        <row r="98">
          <cell r="A98" t="str">
            <v>03.02.01.01</v>
          </cell>
          <cell r="B98" t="str">
            <v>ESCAVAÇÃO MANUAL DE VALAS (SOLO SECO), PROFUNDIDADE ATÉ 1.50 M</v>
          </cell>
          <cell r="C98" t="str">
            <v>M3</v>
          </cell>
          <cell r="D98">
            <v>1767.33</v>
          </cell>
          <cell r="E98">
            <v>15.39</v>
          </cell>
          <cell r="F98">
            <v>27199.21</v>
          </cell>
        </row>
        <row r="99">
          <cell r="A99" t="str">
            <v>03.02.01.02</v>
          </cell>
          <cell r="B99" t="str">
            <v>ESCAVAÇÃO MANUAL DE VALAS (SOLO SECO), PROFUNDIDADE MAIOR QUE 1,50 M ATÉ 3,00 M</v>
          </cell>
          <cell r="C99" t="str">
            <v>M3</v>
          </cell>
          <cell r="D99">
            <v>123.627</v>
          </cell>
          <cell r="E99">
            <v>20.52</v>
          </cell>
          <cell r="F99">
            <v>2536.83</v>
          </cell>
        </row>
        <row r="100">
          <cell r="A100" t="str">
            <v>03.02.02</v>
          </cell>
          <cell r="B100" t="str">
            <v xml:space="preserve">ESCAVAÇÃO MANUAL DE VALAS (SOLO COM ÁGUA) - PROFUNDIDADES:  </v>
          </cell>
          <cell r="C100" t="str">
            <v xml:space="preserve">      </v>
          </cell>
          <cell r="F100">
            <v>0</v>
          </cell>
        </row>
        <row r="101">
          <cell r="A101" t="str">
            <v>03.02.02.01</v>
          </cell>
          <cell r="B101" t="str">
            <v>ESCAVAÇÃO MANUAL DE VALAS (SOLO COM ÁGUA), PROFUNDIDADE ATÉ 1,50 M</v>
          </cell>
          <cell r="C101" t="str">
            <v>M3</v>
          </cell>
          <cell r="D101">
            <v>196.37</v>
          </cell>
          <cell r="E101">
            <v>19.239999999999998</v>
          </cell>
          <cell r="F101">
            <v>3778.16</v>
          </cell>
        </row>
        <row r="102">
          <cell r="A102" t="str">
            <v>03.02.02.02</v>
          </cell>
          <cell r="B102" t="str">
            <v>ESCAVAÇÃO MANUAL DE VALAS (SOLO COM ÁGUA), PROFUNDIDADE MAIOR QUE 1,50 M ATÉ 3,00 M</v>
          </cell>
          <cell r="C102" t="str">
            <v>M3</v>
          </cell>
          <cell r="D102">
            <v>13.736000000000001</v>
          </cell>
          <cell r="E102">
            <v>25.65</v>
          </cell>
          <cell r="F102">
            <v>352.33</v>
          </cell>
        </row>
        <row r="103">
          <cell r="A103" t="str">
            <v>03.02.03</v>
          </cell>
          <cell r="B103" t="str">
            <v xml:space="preserve">ESCAVAÇÃO MECANICA DE VALAS (SOLO SECO) -       PROFUNDIDADES:  </v>
          </cell>
          <cell r="C103" t="str">
            <v xml:space="preserve">      </v>
          </cell>
          <cell r="F103">
            <v>0</v>
          </cell>
        </row>
        <row r="104">
          <cell r="A104" t="str">
            <v>03.02.03.01</v>
          </cell>
          <cell r="B104" t="str">
            <v>ESCAVAÇÃO MECÂNICA DE VALAS (SOLO SECO), PROFUNDIDADE ATÉ 1,50 M</v>
          </cell>
          <cell r="C104" t="str">
            <v>M3</v>
          </cell>
          <cell r="D104">
            <v>1590.597</v>
          </cell>
          <cell r="E104">
            <v>5.41</v>
          </cell>
          <cell r="F104">
            <v>8605.1299999999992</v>
          </cell>
        </row>
        <row r="105">
          <cell r="A105" t="str">
            <v>03.02.03.02</v>
          </cell>
          <cell r="B105" t="str">
            <v>ESCAVAÇÃO MECÂNICA DE VALAS (SOLO SECO), PROFUNDIDADE MAIOR QUE 1,50 M ATÉ 4,00 M</v>
          </cell>
          <cell r="C105" t="str">
            <v>M3</v>
          </cell>
          <cell r="D105">
            <v>111.264</v>
          </cell>
          <cell r="E105">
            <v>6.5</v>
          </cell>
          <cell r="F105">
            <v>723.22</v>
          </cell>
        </row>
        <row r="106">
          <cell r="A106" t="str">
            <v>03.02.04</v>
          </cell>
          <cell r="B106" t="str">
            <v xml:space="preserve">ESCAVAÇÃO MECANICA DE VALAS (SOLO COM ÁGUA) - PROFUNDIDADES:  </v>
          </cell>
          <cell r="C106" t="str">
            <v xml:space="preserve">      </v>
          </cell>
          <cell r="F106">
            <v>0</v>
          </cell>
        </row>
        <row r="107">
          <cell r="A107" t="str">
            <v>03.02.04.01</v>
          </cell>
          <cell r="B107" t="str">
            <v>ESCAVAÇÃO MECÂNICA DE VALAS (SOLO COM ÁGUA), PROFUNDIDADE ATÉ 1,50 M</v>
          </cell>
          <cell r="C107" t="str">
            <v>M3</v>
          </cell>
          <cell r="D107">
            <v>176.733</v>
          </cell>
          <cell r="E107">
            <v>6.5</v>
          </cell>
          <cell r="F107">
            <v>1148.76</v>
          </cell>
        </row>
        <row r="108">
          <cell r="A108" t="str">
            <v>03.02.04.02</v>
          </cell>
          <cell r="B108" t="str">
            <v>ESCAVAÇÃO MECÂNICA DE VALAS (SOLO COM ÁGUA), PROFUNDIDADE MAIOR QUE 1,50 M ATÉ 4,00 M</v>
          </cell>
          <cell r="C108" t="str">
            <v>M3</v>
          </cell>
          <cell r="D108">
            <v>12.362</v>
          </cell>
          <cell r="E108">
            <v>7.79</v>
          </cell>
          <cell r="F108">
            <v>96.3</v>
          </cell>
        </row>
        <row r="109">
          <cell r="A109" t="str">
            <v>03.02.05</v>
          </cell>
          <cell r="B109" t="str">
            <v xml:space="preserve">ESCAVAÇÃO MECANICA DE VALAS (SOLO SECO) COM DESCARGA LATERAL SOBRE CAMINHÃO - PROFUNDIDADES:  </v>
          </cell>
          <cell r="C109" t="str">
            <v xml:space="preserve">      </v>
          </cell>
          <cell r="F109">
            <v>0</v>
          </cell>
        </row>
        <row r="110">
          <cell r="A110" t="str">
            <v>03.02.05.01</v>
          </cell>
          <cell r="B110" t="str">
            <v>ESCAVAÇÃO MECÂNICA DE VALAS (SOLO SECO), PROFUNDIDADE ATÉ 1,50 M</v>
          </cell>
          <cell r="C110" t="str">
            <v>M3</v>
          </cell>
          <cell r="D110">
            <v>14315.37</v>
          </cell>
          <cell r="E110">
            <v>5.41</v>
          </cell>
          <cell r="F110">
            <v>77446.149999999994</v>
          </cell>
        </row>
        <row r="111">
          <cell r="A111" t="str">
            <v>03.02.05.02</v>
          </cell>
          <cell r="B111" t="str">
            <v>ESCAVAÇÃO MECÂNICA DE VALAS (SOLO SECO), PROFUNDIDADE MAIOR QUE 1,50 M ATÉ 4,00 M</v>
          </cell>
          <cell r="C111" t="str">
            <v>M3</v>
          </cell>
          <cell r="D111">
            <v>1001.38</v>
          </cell>
          <cell r="E111">
            <v>6.5</v>
          </cell>
          <cell r="F111">
            <v>6508.97</v>
          </cell>
        </row>
        <row r="112">
          <cell r="A112" t="str">
            <v>03.02.06</v>
          </cell>
          <cell r="B112" t="str">
            <v xml:space="preserve">ESCAVAÇÃO MECANICA DE VALAS (SOLO COM ÁGUA) COM DESCARGA LATERAL SOBRE CAMINHÃO - PROFUNDIDADES:  </v>
          </cell>
          <cell r="C112" t="str">
            <v xml:space="preserve">      </v>
          </cell>
          <cell r="F112">
            <v>0</v>
          </cell>
        </row>
        <row r="113">
          <cell r="A113" t="str">
            <v>03.02.06.01</v>
          </cell>
          <cell r="B113" t="str">
            <v>ESCAVAÇÃO MECÂNICA DE VALAS (SOLO COM ÁGUA), PROFUNDIDADE ATÉ 1,50 M</v>
          </cell>
          <cell r="C113" t="str">
            <v>M3</v>
          </cell>
          <cell r="D113">
            <v>1590.597</v>
          </cell>
          <cell r="E113">
            <v>6.5</v>
          </cell>
          <cell r="F113">
            <v>10338.879999999999</v>
          </cell>
        </row>
        <row r="114">
          <cell r="A114" t="str">
            <v>03.02.06.02</v>
          </cell>
          <cell r="B114" t="str">
            <v>ESCAVAÇÃO MECÂNICA DE VALAS (SOLO COM ÁGUA), PROFUNDIDADE MAIOR QUE 1,50 M ATÉ 4,00 M</v>
          </cell>
          <cell r="C114" t="str">
            <v>M3</v>
          </cell>
          <cell r="D114">
            <v>111.264</v>
          </cell>
          <cell r="E114">
            <v>7.79</v>
          </cell>
          <cell r="F114">
            <v>866.75</v>
          </cell>
        </row>
        <row r="115">
          <cell r="A115" t="str">
            <v>03.03</v>
          </cell>
          <cell r="B115" t="str">
            <v xml:space="preserve">TERRAPLENAGEM  </v>
          </cell>
          <cell r="C115" t="str">
            <v xml:space="preserve">      </v>
          </cell>
          <cell r="F115">
            <v>0</v>
          </cell>
        </row>
        <row r="116">
          <cell r="A116" t="str">
            <v>03.03.01</v>
          </cell>
          <cell r="B116" t="str">
            <v>ESCAVACAO E CARGA EM MATERIAL DE PRIMEIRA CATEGORIA</v>
          </cell>
          <cell r="C116" t="str">
            <v>M3</v>
          </cell>
          <cell r="D116">
            <v>2311.17</v>
          </cell>
          <cell r="E116">
            <v>4.66</v>
          </cell>
          <cell r="F116">
            <v>10770.05</v>
          </cell>
        </row>
        <row r="117">
          <cell r="A117" t="str">
            <v>03.03.02</v>
          </cell>
          <cell r="B117" t="str">
            <v>ACERTO E VERIFICAÇÃO DO NIVELAMENTO DE FUNDO DE VALAS</v>
          </cell>
          <cell r="C117" t="str">
            <v>M2</v>
          </cell>
          <cell r="D117">
            <v>14137.71</v>
          </cell>
          <cell r="E117">
            <v>2.56</v>
          </cell>
          <cell r="F117">
            <v>36192.54</v>
          </cell>
        </row>
        <row r="118">
          <cell r="A118" t="str">
            <v>03.03.03</v>
          </cell>
          <cell r="B118" t="str">
            <v>CARGA OU DESCARGA MECANICA(MAT. EM GERAL) S/ MANUSEIO E ARRUMACAO DO MATERIAL</v>
          </cell>
          <cell r="C118" t="str">
            <v>M3</v>
          </cell>
          <cell r="D118">
            <v>6009.04</v>
          </cell>
          <cell r="E118">
            <v>2.2799999999999998</v>
          </cell>
          <cell r="F118">
            <v>13700.61</v>
          </cell>
        </row>
        <row r="119">
          <cell r="A119" t="str">
            <v>03.03.04</v>
          </cell>
          <cell r="B119" t="str">
            <v>TRANSP. A GRANEL ( MAT. EM GERAL), DIST. ATE 1 KM</v>
          </cell>
          <cell r="C119" t="str">
            <v>M3</v>
          </cell>
          <cell r="D119">
            <v>2311.17</v>
          </cell>
          <cell r="E119">
            <v>0.99</v>
          </cell>
          <cell r="F119">
            <v>2288.06</v>
          </cell>
        </row>
        <row r="120">
          <cell r="A120" t="str">
            <v>03.03.05</v>
          </cell>
          <cell r="B120" t="str">
            <v>ADICIONAL DE PRECO P/ TRANSP. LOCAL(MAT. EM GERAL), A GRANEL, DISTANCIA EXCEDENTE A 1 KM</v>
          </cell>
          <cell r="C120" t="str">
            <v>M3XKM</v>
          </cell>
          <cell r="D120">
            <v>11555.85</v>
          </cell>
          <cell r="E120">
            <v>1.3</v>
          </cell>
          <cell r="F120">
            <v>15022.61</v>
          </cell>
        </row>
        <row r="121">
          <cell r="A121" t="str">
            <v>03.03.06</v>
          </cell>
          <cell r="B121" t="str">
            <v>ESPALHAMENTO DE SOLO EM BOTA FORA</v>
          </cell>
          <cell r="C121" t="str">
            <v>M3</v>
          </cell>
          <cell r="D121">
            <v>2311.17</v>
          </cell>
          <cell r="E121">
            <v>1.65</v>
          </cell>
          <cell r="F121">
            <v>3813.43</v>
          </cell>
        </row>
        <row r="122">
          <cell r="A122" t="str">
            <v>03.03.07</v>
          </cell>
          <cell r="B122" t="str">
            <v>ATERRO DE VALAS E CAVAS DE FUNDAÇÃO, C/ CONTROLE DO GRAU DE COMPACTAÇÃO DE NO MÍNIMO 97% DO PROCTOR NORMAL</v>
          </cell>
          <cell r="C122" t="str">
            <v>M3</v>
          </cell>
          <cell r="D122">
            <v>21010.63</v>
          </cell>
          <cell r="E122">
            <v>13.01</v>
          </cell>
          <cell r="F122">
            <v>273348.3</v>
          </cell>
        </row>
        <row r="123">
          <cell r="A123" t="str">
            <v>03.03.08</v>
          </cell>
          <cell r="B123" t="str">
            <v>ESCAVAÇÃO E CARGA MECÂNICA DE VALAS, EM ROCHA DURA, A FRIO</v>
          </cell>
          <cell r="C123" t="str">
            <v>M3</v>
          </cell>
          <cell r="D123">
            <v>210.10599999999999</v>
          </cell>
          <cell r="E123">
            <v>57.95</v>
          </cell>
          <cell r="F123">
            <v>12175.64</v>
          </cell>
        </row>
        <row r="124">
          <cell r="A124" t="str">
            <v>03.04</v>
          </cell>
          <cell r="B124" t="str">
            <v>FUNDAÇÕES / ESTRUTURAS</v>
          </cell>
          <cell r="C124" t="str">
            <v xml:space="preserve">      </v>
          </cell>
          <cell r="E124">
            <v>0</v>
          </cell>
          <cell r="F124">
            <v>0</v>
          </cell>
        </row>
        <row r="125">
          <cell r="A125" t="str">
            <v>03.04.01</v>
          </cell>
          <cell r="B125" t="str">
            <v>ESTRUTURA DE ESCORAMENTO, TIPO PONTALETEAMENTO</v>
          </cell>
          <cell r="C125" t="str">
            <v>M2</v>
          </cell>
          <cell r="D125">
            <v>18742.5</v>
          </cell>
          <cell r="E125">
            <v>3.46</v>
          </cell>
          <cell r="F125">
            <v>64849.05</v>
          </cell>
        </row>
        <row r="126">
          <cell r="A126" t="str">
            <v>03.04.02</v>
          </cell>
          <cell r="B126" t="str">
            <v>ESTRUTURA DE ESCORAMENTO CONTINUA</v>
          </cell>
          <cell r="C126" t="str">
            <v>M2</v>
          </cell>
          <cell r="D126">
            <v>264.31</v>
          </cell>
          <cell r="E126">
            <v>17.809999999999999</v>
          </cell>
          <cell r="F126">
            <v>4707.3599999999997</v>
          </cell>
        </row>
        <row r="127">
          <cell r="A127" t="str">
            <v>03.04.03</v>
          </cell>
          <cell r="B127" t="str">
            <v>ESTRUTURA DE ESCORAMENTO DESCONTÍNUA</v>
          </cell>
          <cell r="C127" t="str">
            <v>M2</v>
          </cell>
          <cell r="D127">
            <v>1308.44</v>
          </cell>
          <cell r="E127">
            <v>7.86</v>
          </cell>
          <cell r="F127">
            <v>10284.34</v>
          </cell>
        </row>
        <row r="128">
          <cell r="A128" t="str">
            <v>03.04.04</v>
          </cell>
          <cell r="B128" t="str">
            <v>ESTRUTURA DE ESCORAMENTO CONTÍNUO METÁLICO DE VALAS, TIPO ESTACA PRANCHA</v>
          </cell>
          <cell r="C128" t="str">
            <v>M2</v>
          </cell>
          <cell r="D128">
            <v>407.56</v>
          </cell>
          <cell r="E128">
            <v>144.97</v>
          </cell>
          <cell r="F128">
            <v>59083.97</v>
          </cell>
        </row>
        <row r="129">
          <cell r="A129" t="str">
            <v>03.04.05</v>
          </cell>
          <cell r="B129" t="str">
            <v>ESGOTAMENTO DE ÁGUA C/ BOMBAS, VAZÕES ATÉ 15 M3/H, ALTURA ATÉ 10M</v>
          </cell>
          <cell r="C129" t="str">
            <v>Hpxh</v>
          </cell>
          <cell r="D129">
            <v>450</v>
          </cell>
          <cell r="E129">
            <v>2.62</v>
          </cell>
          <cell r="F129">
            <v>1179</v>
          </cell>
        </row>
        <row r="130">
          <cell r="A130" t="str">
            <v>03.04.06</v>
          </cell>
          <cell r="B130" t="str">
            <v>DRENAGEM COM TUBOS PERFURADOS DE CERÂMICA, DIÂMETRO = 100 MM</v>
          </cell>
          <cell r="C130" t="str">
            <v>M</v>
          </cell>
          <cell r="D130">
            <v>863.24</v>
          </cell>
          <cell r="E130">
            <v>14.43</v>
          </cell>
          <cell r="F130">
            <v>12456.55</v>
          </cell>
        </row>
        <row r="131">
          <cell r="A131" t="str">
            <v>03.04.07</v>
          </cell>
          <cell r="B131" t="str">
            <v>DRENAGEM COM PEDRA BRITADA</v>
          </cell>
          <cell r="C131" t="str">
            <v>M</v>
          </cell>
          <cell r="D131">
            <v>103.59</v>
          </cell>
          <cell r="E131">
            <v>56.48</v>
          </cell>
          <cell r="F131">
            <v>5850.76</v>
          </cell>
        </row>
        <row r="132">
          <cell r="A132" t="str">
            <v>03.04.08</v>
          </cell>
          <cell r="B132" t="str">
            <v xml:space="preserve">RECUPERAÇÃO E REVEGETAÇÃO DA ÁREA DE EMPRÉSTIMO          </v>
          </cell>
          <cell r="C132" t="str">
            <v>M2</v>
          </cell>
          <cell r="D132">
            <v>910</v>
          </cell>
          <cell r="E132">
            <v>8.83</v>
          </cell>
          <cell r="F132">
            <v>8035.3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orçamentaria"/>
      <sheetName val="Cronograma"/>
      <sheetName val="COMPOS.GERAL R$"/>
      <sheetName val="COTAÇÃO VINA"/>
      <sheetName val="Planilha2"/>
      <sheetName val="Resumo preços"/>
      <sheetName val="ROÇADEIRA"/>
      <sheetName val="COMPOSIÇÕES M.O"/>
      <sheetName val="cotações"/>
      <sheetName val="Encargos Sociais "/>
      <sheetName val="Detalhamento BDI"/>
      <sheetName val="Plan1"/>
      <sheetName val="TABELA DOS UNIFORMES"/>
    </sheetNames>
    <sheetDataSet>
      <sheetData sheetId="0">
        <row r="8">
          <cell r="A8">
            <v>1</v>
          </cell>
        </row>
        <row r="9">
          <cell r="A9">
            <v>2</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provest@provestuniformes.com.br" TargetMode="External"/><Relationship Id="rId3" Type="http://schemas.openxmlformats.org/officeDocument/2006/relationships/hyperlink" Target="mailto:contato@ipatingacaminhoes.com.br" TargetMode="External"/><Relationship Id="rId7" Type="http://schemas.openxmlformats.org/officeDocument/2006/relationships/hyperlink" Target="http://www.pneuscacique.com.br/" TargetMode="External"/><Relationship Id="rId2" Type="http://schemas.openxmlformats.org/officeDocument/2006/relationships/hyperlink" Target="http://www.brafil10.com.br/servidor/uniformesvalevest/conteudo/orcamento.asp" TargetMode="External"/><Relationship Id="rId1" Type="http://schemas.openxmlformats.org/officeDocument/2006/relationships/hyperlink" Target="https://www.portalbrasil.net/salariominimo.htm" TargetMode="External"/><Relationship Id="rId6" Type="http://schemas.openxmlformats.org/officeDocument/2006/relationships/hyperlink" Target="https://lojagwpneus.com.br/loja/g/caminhoes" TargetMode="External"/><Relationship Id="rId11" Type="http://schemas.openxmlformats.org/officeDocument/2006/relationships/printerSettings" Target="../printerSettings/printerSettings10.bin"/><Relationship Id="rId5" Type="http://schemas.openxmlformats.org/officeDocument/2006/relationships/hyperlink" Target="http://grupojrpneus.com.br/area-de-atuacao" TargetMode="External"/><Relationship Id="rId10" Type="http://schemas.openxmlformats.org/officeDocument/2006/relationships/hyperlink" Target="mailto:contato@bhepi.com.br" TargetMode="External"/><Relationship Id="rId4" Type="http://schemas.openxmlformats.org/officeDocument/2006/relationships/hyperlink" Target="https://precodoscombustiveis.com.br/" TargetMode="External"/><Relationship Id="rId9" Type="http://schemas.openxmlformats.org/officeDocument/2006/relationships/hyperlink" Target="mailto:contato@cofermeta.com.br"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2:P18"/>
  <sheetViews>
    <sheetView tabSelected="1" topLeftCell="J4" zoomScaleNormal="100" zoomScaleSheetLayoutView="100" workbookViewId="0">
      <selection activeCell="K9" sqref="K9"/>
    </sheetView>
  </sheetViews>
  <sheetFormatPr defaultColWidth="9.109375" defaultRowHeight="13.8"/>
  <cols>
    <col min="1" max="1" width="4" style="180" customWidth="1"/>
    <col min="2" max="2" width="5.5546875" style="180" customWidth="1"/>
    <col min="3" max="5" width="9.109375" style="180" customWidth="1"/>
    <col min="6" max="6" width="5.6640625" style="180" customWidth="1"/>
    <col min="7" max="7" width="16.44140625" style="180" customWidth="1"/>
    <col min="8" max="8" width="11.33203125" style="180" customWidth="1"/>
    <col min="9" max="9" width="11" style="180" customWidth="1"/>
    <col min="10" max="10" width="15.33203125" style="192" customWidth="1"/>
    <col min="11" max="11" width="13.6640625" style="180" customWidth="1"/>
    <col min="12" max="12" width="3.6640625" style="180" customWidth="1"/>
    <col min="13" max="13" width="12.109375" style="180" customWidth="1"/>
    <col min="14" max="14" width="16.77734375" style="180" customWidth="1"/>
    <col min="15" max="15" width="19.88671875" style="183" customWidth="1"/>
    <col min="16" max="16384" width="9.109375" style="183"/>
  </cols>
  <sheetData>
    <row r="2" spans="2:16" ht="24" customHeight="1">
      <c r="B2" s="449" t="s">
        <v>18</v>
      </c>
      <c r="C2" s="450"/>
      <c r="D2" s="450"/>
      <c r="E2" s="450"/>
      <c r="F2" s="450"/>
      <c r="G2" s="450"/>
      <c r="H2" s="450"/>
      <c r="I2" s="450"/>
      <c r="J2" s="450"/>
      <c r="K2" s="451"/>
      <c r="M2" s="181"/>
      <c r="N2" s="182"/>
      <c r="O2" s="182"/>
      <c r="P2" s="182"/>
    </row>
    <row r="3" spans="2:16" ht="14.4">
      <c r="B3" s="461"/>
      <c r="C3" s="461"/>
      <c r="D3" s="461"/>
      <c r="E3" s="461"/>
      <c r="F3" s="461"/>
      <c r="G3" s="461"/>
      <c r="H3" s="461"/>
      <c r="I3" s="461"/>
      <c r="J3" s="184"/>
      <c r="K3" s="184"/>
      <c r="M3" s="181"/>
      <c r="N3" s="182"/>
      <c r="O3" s="182"/>
      <c r="P3" s="182"/>
    </row>
    <row r="4" spans="2:16" ht="26.25" customHeight="1">
      <c r="B4" s="331" t="s">
        <v>22</v>
      </c>
      <c r="C4" s="452" t="s">
        <v>23</v>
      </c>
      <c r="D4" s="452"/>
      <c r="E4" s="452"/>
      <c r="F4" s="452"/>
      <c r="G4" s="452"/>
      <c r="H4" s="331" t="s">
        <v>24</v>
      </c>
      <c r="I4" s="331" t="s">
        <v>25</v>
      </c>
      <c r="J4" s="299" t="s">
        <v>26</v>
      </c>
      <c r="K4" s="331" t="s">
        <v>27</v>
      </c>
      <c r="M4" s="181"/>
      <c r="N4" s="112"/>
      <c r="O4" s="112"/>
      <c r="P4" s="182"/>
    </row>
    <row r="5" spans="2:16" ht="47.25" customHeight="1">
      <c r="B5" s="185">
        <v>1</v>
      </c>
      <c r="C5" s="453" t="str">
        <f>'1 Coleta Domiciliar'!B7</f>
        <v xml:space="preserve"> Coleta manual e conteinerizada de resíduos sólidos domiciliares da área urbana da cidade, incluindo as áreas de difícil acesso; </v>
      </c>
      <c r="D5" s="454"/>
      <c r="E5" s="454"/>
      <c r="F5" s="454"/>
      <c r="G5" s="454"/>
      <c r="H5" s="241" t="s">
        <v>28</v>
      </c>
      <c r="I5" s="185">
        <f>'1 Coleta Domiciliar'!B190</f>
        <v>1500</v>
      </c>
      <c r="J5" s="427">
        <f>'1 Coleta Domiciliar'!P288</f>
        <v>217.91398769173037</v>
      </c>
      <c r="K5" s="428">
        <f>ROUND(J5*I5,2)</f>
        <v>326870.98</v>
      </c>
      <c r="M5" s="186"/>
      <c r="N5" s="187"/>
      <c r="O5" s="188"/>
      <c r="P5" s="182"/>
    </row>
    <row r="6" spans="2:16" ht="42.75" customHeight="1">
      <c r="B6" s="185">
        <v>2</v>
      </c>
      <c r="C6" s="453" t="str">
        <f>'2 varrição manual '!B7</f>
        <v>Varrição manual de vias e logradouros públicos incluindo o sacheamento e  esvaziamento de lixeiras públicas.</v>
      </c>
      <c r="D6" s="454"/>
      <c r="E6" s="454"/>
      <c r="F6" s="454"/>
      <c r="G6" s="454"/>
      <c r="H6" s="241" t="s">
        <v>310</v>
      </c>
      <c r="I6" s="185">
        <v>3800</v>
      </c>
      <c r="J6" s="427">
        <f>'2 varrição manual '!N184</f>
        <v>91.69454117978745</v>
      </c>
      <c r="K6" s="428">
        <f>ROUND(J6*I6,2)</f>
        <v>348439.26</v>
      </c>
      <c r="M6" s="186"/>
      <c r="N6" s="187"/>
      <c r="O6" s="188"/>
      <c r="P6" s="182"/>
    </row>
    <row r="7" spans="2:16" ht="51" customHeight="1">
      <c r="B7" s="185">
        <v>3</v>
      </c>
      <c r="C7" s="462" t="s">
        <v>471</v>
      </c>
      <c r="D7" s="463"/>
      <c r="E7" s="463"/>
      <c r="F7" s="463"/>
      <c r="G7" s="464"/>
      <c r="H7" s="241" t="s">
        <v>472</v>
      </c>
      <c r="I7" s="204">
        <v>40</v>
      </c>
      <c r="J7" s="428">
        <f>'9 Conteiner'!O23</f>
        <v>296.17693402500004</v>
      </c>
      <c r="K7" s="428">
        <f>I7*J7</f>
        <v>11847.077361000001</v>
      </c>
      <c r="M7" s="186"/>
      <c r="N7" s="189"/>
      <c r="O7" s="188"/>
      <c r="P7" s="182"/>
    </row>
    <row r="8" spans="2:16" ht="25.5" customHeight="1">
      <c r="B8" s="185">
        <v>4</v>
      </c>
      <c r="C8" s="455" t="s">
        <v>473</v>
      </c>
      <c r="D8" s="456"/>
      <c r="E8" s="456"/>
      <c r="F8" s="456"/>
      <c r="G8" s="457"/>
      <c r="H8" s="241" t="s">
        <v>474</v>
      </c>
      <c r="I8" s="185">
        <v>1</v>
      </c>
      <c r="J8" s="428">
        <f>Administração!P262</f>
        <v>92974.565935230145</v>
      </c>
      <c r="K8" s="428">
        <f>J8*I8</f>
        <v>92974.565935230145</v>
      </c>
      <c r="M8" s="186"/>
      <c r="N8" s="189"/>
      <c r="O8" s="188"/>
      <c r="P8" s="182"/>
    </row>
    <row r="9" spans="2:16" ht="52.5" customHeight="1">
      <c r="B9" s="185">
        <v>5</v>
      </c>
      <c r="C9" s="460" t="str">
        <f>'Coleta Rural '!B7</f>
        <v xml:space="preserve">Coleta manual e conteinerizada de resíduos sólidos domiciliares da área RURAL; </v>
      </c>
      <c r="D9" s="456"/>
      <c r="E9" s="456"/>
      <c r="F9" s="456"/>
      <c r="G9" s="457"/>
      <c r="H9" s="241" t="s">
        <v>28</v>
      </c>
      <c r="I9" s="185">
        <f>'Coleta Rural '!P227</f>
        <v>200</v>
      </c>
      <c r="J9" s="427">
        <f>'Coleta Rural '!P228</f>
        <v>511.16857284420672</v>
      </c>
      <c r="K9" s="428">
        <f>I9*J9</f>
        <v>102233.71456884134</v>
      </c>
      <c r="M9" s="186"/>
      <c r="N9" s="189"/>
      <c r="O9" s="188"/>
      <c r="P9" s="182"/>
    </row>
    <row r="10" spans="2:16" ht="25.5" customHeight="1">
      <c r="B10" s="425" t="s">
        <v>21</v>
      </c>
      <c r="C10" s="426"/>
      <c r="D10" s="426"/>
      <c r="E10" s="426"/>
      <c r="F10" s="426"/>
      <c r="G10" s="426"/>
      <c r="H10" s="426"/>
      <c r="I10" s="426"/>
      <c r="J10" s="458">
        <f>SUM(K5:K9)</f>
        <v>882365.5978650715</v>
      </c>
      <c r="K10" s="459"/>
      <c r="M10" s="181"/>
      <c r="N10" s="177"/>
      <c r="O10" s="190"/>
      <c r="P10" s="182"/>
    </row>
    <row r="11" spans="2:16" ht="21.75" customHeight="1">
      <c r="B11" s="425" t="s">
        <v>20</v>
      </c>
      <c r="C11" s="426"/>
      <c r="D11" s="426"/>
      <c r="E11" s="426"/>
      <c r="F11" s="426"/>
      <c r="G11" s="426"/>
      <c r="H11" s="426"/>
      <c r="I11" s="426"/>
      <c r="J11" s="458">
        <f>J10*12</f>
        <v>10588387.174380857</v>
      </c>
      <c r="K11" s="459"/>
      <c r="M11" s="181"/>
      <c r="N11" s="177"/>
      <c r="O11" s="190"/>
      <c r="P11" s="182"/>
    </row>
    <row r="12" spans="2:16">
      <c r="J12" s="180"/>
      <c r="M12" s="181"/>
      <c r="N12" s="182"/>
      <c r="O12" s="191"/>
      <c r="P12" s="182"/>
    </row>
    <row r="13" spans="2:16">
      <c r="J13" s="180"/>
      <c r="M13" s="181"/>
      <c r="N13" s="182"/>
      <c r="O13" s="182"/>
      <c r="P13" s="182"/>
    </row>
    <row r="14" spans="2:16">
      <c r="J14" s="180"/>
      <c r="M14" s="181"/>
      <c r="N14" s="182"/>
      <c r="O14" s="182"/>
      <c r="P14" s="182"/>
    </row>
    <row r="15" spans="2:16">
      <c r="M15" s="193"/>
      <c r="N15" s="181"/>
      <c r="O15" s="182"/>
      <c r="P15" s="182"/>
    </row>
    <row r="16" spans="2:16">
      <c r="M16" s="181"/>
      <c r="N16" s="181"/>
      <c r="O16" s="182"/>
      <c r="P16" s="182"/>
    </row>
    <row r="17" spans="13:16">
      <c r="M17" s="181"/>
      <c r="N17" s="181"/>
      <c r="O17" s="182"/>
      <c r="P17" s="182"/>
    </row>
    <row r="18" spans="13:16">
      <c r="M18" s="181"/>
      <c r="N18" s="181"/>
      <c r="O18" s="182"/>
      <c r="P18" s="182"/>
    </row>
  </sheetData>
  <mergeCells count="10">
    <mergeCell ref="J11:K11"/>
    <mergeCell ref="J10:K10"/>
    <mergeCell ref="C9:G9"/>
    <mergeCell ref="B3:I3"/>
    <mergeCell ref="C7:G7"/>
    <mergeCell ref="B2:K2"/>
    <mergeCell ref="C4:G4"/>
    <mergeCell ref="C5:G5"/>
    <mergeCell ref="C6:G6"/>
    <mergeCell ref="C8:G8"/>
  </mergeCells>
  <pageMargins left="0.511811024" right="0.511811024" top="0.78740157499999996" bottom="0.78740157499999996" header="0.31496062000000002" footer="0.31496062000000002"/>
  <pageSetup paperSize="9" scale="8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22"/>
  <sheetViews>
    <sheetView topLeftCell="A112" zoomScale="85" zoomScaleNormal="100" zoomScaleSheetLayoutView="85" workbookViewId="0">
      <selection activeCell="E40" sqref="E40"/>
    </sheetView>
  </sheetViews>
  <sheetFormatPr defaultColWidth="9.109375" defaultRowHeight="13.8"/>
  <cols>
    <col min="1" max="1" width="4.21875" style="116" customWidth="1"/>
    <col min="2" max="2" width="14.21875" style="116" customWidth="1"/>
    <col min="3" max="3" width="16.5546875" style="116" customWidth="1"/>
    <col min="4" max="4" width="12.33203125" style="116" customWidth="1"/>
    <col min="5" max="6" width="9.109375" style="116"/>
    <col min="7" max="7" width="4.5546875" style="116" customWidth="1"/>
    <col min="8" max="8" width="13.6640625" style="116" customWidth="1"/>
    <col min="9" max="9" width="9.109375" style="116"/>
    <col min="10" max="10" width="10.77734375" style="116" customWidth="1"/>
    <col min="11" max="11" width="5.33203125" style="116" customWidth="1"/>
    <col min="12" max="12" width="6.44140625" style="116" customWidth="1"/>
    <col min="13" max="13" width="11.5546875" style="116" customWidth="1"/>
    <col min="14" max="16384" width="9.109375" style="116"/>
  </cols>
  <sheetData>
    <row r="1" spans="1:14">
      <c r="A1" s="117"/>
      <c r="B1" s="117"/>
      <c r="C1" s="117"/>
      <c r="D1" s="117"/>
      <c r="E1" s="117"/>
      <c r="F1" s="117"/>
      <c r="G1" s="117"/>
      <c r="H1" s="117"/>
      <c r="I1" s="117"/>
      <c r="J1" s="117"/>
      <c r="K1" s="117"/>
      <c r="L1" s="117"/>
      <c r="M1" s="117"/>
    </row>
    <row r="2" spans="1:14" ht="18">
      <c r="A2" s="117"/>
      <c r="B2" s="914" t="s">
        <v>504</v>
      </c>
      <c r="C2" s="914"/>
      <c r="D2" s="914"/>
      <c r="E2" s="914"/>
      <c r="F2" s="914"/>
      <c r="G2" s="914"/>
      <c r="H2" s="914"/>
      <c r="I2" s="914"/>
      <c r="J2" s="914"/>
      <c r="K2" s="914"/>
      <c r="L2" s="914"/>
      <c r="M2" s="914"/>
    </row>
    <row r="3" spans="1:14">
      <c r="A3" s="117"/>
      <c r="B3" s="117"/>
      <c r="C3" s="117"/>
      <c r="D3" s="117"/>
      <c r="E3" s="117"/>
      <c r="F3" s="117"/>
      <c r="G3" s="117"/>
      <c r="H3" s="117"/>
      <c r="I3" s="117"/>
      <c r="J3" s="117"/>
      <c r="K3" s="117"/>
      <c r="L3" s="117"/>
      <c r="M3" s="117"/>
    </row>
    <row r="4" spans="1:14">
      <c r="A4" s="117"/>
      <c r="B4" s="1018" t="s">
        <v>215</v>
      </c>
      <c r="C4" s="1019"/>
      <c r="D4" s="1019"/>
      <c r="E4" s="1016">
        <v>1045</v>
      </c>
      <c r="F4" s="1017"/>
    </row>
    <row r="5" spans="1:14" ht="15.6">
      <c r="A5" s="117"/>
      <c r="B5" s="351" t="s">
        <v>216</v>
      </c>
      <c r="C5" s="1023" t="s">
        <v>217</v>
      </c>
      <c r="D5" s="1023"/>
      <c r="E5" s="1023"/>
      <c r="F5" s="1024"/>
      <c r="N5" s="129"/>
    </row>
    <row r="6" spans="1:14">
      <c r="A6" s="117"/>
      <c r="B6" s="117"/>
      <c r="C6" s="117"/>
      <c r="D6" s="117"/>
      <c r="E6" s="117"/>
      <c r="F6" s="117"/>
      <c r="G6" s="117"/>
    </row>
    <row r="7" spans="1:14">
      <c r="A7" s="117"/>
      <c r="B7" s="916" t="s">
        <v>511</v>
      </c>
      <c r="C7" s="916"/>
      <c r="D7" s="916"/>
      <c r="E7" s="916"/>
      <c r="F7" s="916"/>
      <c r="G7" s="916"/>
      <c r="H7" s="916"/>
      <c r="I7" s="916"/>
      <c r="J7" s="916"/>
      <c r="K7" s="916"/>
      <c r="L7" s="916"/>
      <c r="M7" s="916"/>
    </row>
    <row r="8" spans="1:14" ht="16.5" customHeight="1">
      <c r="A8" s="117"/>
      <c r="B8" s="921"/>
      <c r="C8" s="921"/>
      <c r="D8" s="921"/>
      <c r="E8" s="921"/>
      <c r="F8" s="921"/>
      <c r="G8" s="117"/>
      <c r="H8" s="988" t="s">
        <v>241</v>
      </c>
      <c r="I8" s="989"/>
      <c r="J8" s="989"/>
      <c r="K8" s="989"/>
      <c r="L8" s="989"/>
      <c r="M8" s="990"/>
    </row>
    <row r="9" spans="1:14" ht="19.5" customHeight="1">
      <c r="A9" s="117"/>
      <c r="B9" s="922" t="s">
        <v>3</v>
      </c>
      <c r="C9" s="923"/>
      <c r="D9" s="924"/>
      <c r="E9" s="925" t="s">
        <v>239</v>
      </c>
      <c r="F9" s="926"/>
      <c r="G9" s="117"/>
      <c r="H9" s="956" t="s">
        <v>69</v>
      </c>
      <c r="I9" s="956"/>
      <c r="J9" s="956"/>
      <c r="K9" s="1029" t="s">
        <v>282</v>
      </c>
      <c r="L9" s="1029"/>
      <c r="M9" s="110" t="s">
        <v>283</v>
      </c>
    </row>
    <row r="10" spans="1:14" ht="15.6">
      <c r="A10" s="117"/>
      <c r="B10" s="927" t="s">
        <v>498</v>
      </c>
      <c r="C10" s="1020"/>
      <c r="D10" s="1021"/>
      <c r="E10" s="1006">
        <v>1102.1600000000001</v>
      </c>
      <c r="F10" s="1007"/>
      <c r="G10" s="117"/>
      <c r="H10" s="660" t="s">
        <v>4</v>
      </c>
      <c r="I10" s="660"/>
      <c r="J10" s="660"/>
      <c r="K10" s="1030">
        <v>180.15</v>
      </c>
      <c r="L10" s="1030"/>
      <c r="M10" s="352">
        <v>171.52</v>
      </c>
    </row>
    <row r="11" spans="1:14" ht="15.6">
      <c r="A11" s="117"/>
      <c r="B11" s="927" t="s">
        <v>499</v>
      </c>
      <c r="C11" s="928"/>
      <c r="D11" s="929"/>
      <c r="E11" s="1006">
        <v>1102.1600000000001</v>
      </c>
      <c r="F11" s="1007"/>
      <c r="G11" s="117"/>
      <c r="H11" s="328" t="s">
        <v>493</v>
      </c>
      <c r="I11" s="328"/>
      <c r="J11" s="328"/>
      <c r="K11" s="994">
        <f>K10/12</f>
        <v>15.012500000000001</v>
      </c>
      <c r="L11" s="995"/>
      <c r="M11" s="352">
        <f>M10/12</f>
        <v>14.293333333333335</v>
      </c>
    </row>
    <row r="12" spans="1:14" ht="15.6">
      <c r="A12" s="117"/>
      <c r="B12" s="927" t="s">
        <v>500</v>
      </c>
      <c r="C12" s="928"/>
      <c r="D12" s="929"/>
      <c r="E12" s="1006">
        <v>1108.32</v>
      </c>
      <c r="F12" s="1007"/>
      <c r="G12" s="117"/>
      <c r="H12" s="328" t="s">
        <v>242</v>
      </c>
      <c r="I12" s="328"/>
      <c r="J12" s="328"/>
      <c r="K12" s="994">
        <f>K10/12</f>
        <v>15.012500000000001</v>
      </c>
      <c r="L12" s="995"/>
      <c r="M12" s="352">
        <f>M10/12</f>
        <v>14.293333333333335</v>
      </c>
    </row>
    <row r="13" spans="1:14" ht="15.6">
      <c r="A13" s="117"/>
      <c r="B13" s="927" t="s">
        <v>497</v>
      </c>
      <c r="C13" s="928"/>
      <c r="D13" s="929"/>
      <c r="E13" s="1006">
        <v>1256.42</v>
      </c>
      <c r="F13" s="1007"/>
      <c r="G13" s="117"/>
      <c r="H13" s="327" t="s">
        <v>281</v>
      </c>
      <c r="I13" s="327"/>
      <c r="J13" s="327"/>
      <c r="K13" s="994">
        <v>3.2</v>
      </c>
      <c r="L13" s="995"/>
      <c r="M13" s="352">
        <f>K13</f>
        <v>3.2</v>
      </c>
    </row>
    <row r="14" spans="1:14" ht="16.5" customHeight="1">
      <c r="A14" s="117"/>
      <c r="B14" s="927" t="s">
        <v>501</v>
      </c>
      <c r="C14" s="928"/>
      <c r="D14" s="929"/>
      <c r="E14" s="1006">
        <v>1700</v>
      </c>
      <c r="F14" s="1007"/>
      <c r="G14" s="117"/>
      <c r="H14" s="324" t="s">
        <v>274</v>
      </c>
      <c r="I14" s="325"/>
      <c r="J14" s="326"/>
      <c r="K14" s="994">
        <v>15.37</v>
      </c>
      <c r="L14" s="995"/>
      <c r="M14" s="352">
        <f>K14</f>
        <v>15.37</v>
      </c>
    </row>
    <row r="15" spans="1:14" ht="15.6">
      <c r="A15" s="117"/>
      <c r="B15" s="1013" t="s">
        <v>509</v>
      </c>
      <c r="C15" s="1014"/>
      <c r="D15" s="1014"/>
      <c r="E15" s="1014"/>
      <c r="F15" s="1015"/>
      <c r="G15" s="117"/>
      <c r="H15" s="324" t="s">
        <v>243</v>
      </c>
      <c r="I15" s="325"/>
      <c r="J15" s="326"/>
      <c r="K15" s="994">
        <v>37</v>
      </c>
      <c r="L15" s="995"/>
      <c r="M15" s="352">
        <f>K15</f>
        <v>37</v>
      </c>
    </row>
    <row r="16" spans="1:14" ht="15.6">
      <c r="A16" s="117"/>
      <c r="B16" s="1022" t="s">
        <v>240</v>
      </c>
      <c r="C16" s="1022"/>
      <c r="D16" s="1022"/>
      <c r="E16" s="1006">
        <v>1658.91</v>
      </c>
      <c r="F16" s="1007"/>
      <c r="G16" s="117"/>
      <c r="H16" s="324" t="s">
        <v>244</v>
      </c>
      <c r="I16" s="325"/>
      <c r="J16" s="326"/>
      <c r="K16" s="994">
        <v>12.91</v>
      </c>
      <c r="L16" s="995"/>
      <c r="M16" s="352">
        <f>K16</f>
        <v>12.91</v>
      </c>
    </row>
    <row r="17" spans="1:13" ht="16.5" customHeight="1">
      <c r="A17" s="117"/>
      <c r="B17" s="917" t="s">
        <v>510</v>
      </c>
      <c r="C17" s="917"/>
      <c r="D17" s="917"/>
      <c r="E17" s="917"/>
      <c r="F17" s="917"/>
      <c r="G17" s="117"/>
      <c r="H17" s="324" t="s">
        <v>312</v>
      </c>
      <c r="I17" s="325"/>
      <c r="J17" s="326"/>
      <c r="K17" s="994">
        <v>32</v>
      </c>
      <c r="L17" s="995"/>
      <c r="M17" s="352">
        <f>K17</f>
        <v>32</v>
      </c>
    </row>
    <row r="18" spans="1:13">
      <c r="A18" s="117"/>
      <c r="B18" s="918"/>
      <c r="C18" s="918"/>
      <c r="D18" s="918"/>
      <c r="E18" s="918"/>
      <c r="F18" s="918"/>
      <c r="G18" s="117"/>
      <c r="H18" s="117"/>
      <c r="I18" s="117"/>
      <c r="J18" s="117"/>
      <c r="K18" s="117"/>
      <c r="L18" s="117"/>
      <c r="M18" s="117"/>
    </row>
    <row r="19" spans="1:13">
      <c r="A19" s="117"/>
      <c r="B19" s="117"/>
      <c r="C19" s="117"/>
      <c r="D19" s="117"/>
      <c r="E19" s="117"/>
      <c r="F19" s="117"/>
      <c r="G19" s="117"/>
      <c r="H19" s="117"/>
      <c r="I19" s="117"/>
      <c r="J19" s="117"/>
      <c r="K19" s="117"/>
      <c r="L19" s="117"/>
      <c r="M19" s="117"/>
    </row>
    <row r="20" spans="1:13">
      <c r="A20" s="117"/>
      <c r="B20" s="985" t="s">
        <v>249</v>
      </c>
      <c r="C20" s="985"/>
      <c r="D20" s="985"/>
      <c r="E20" s="985"/>
      <c r="F20" s="985"/>
      <c r="G20" s="985"/>
      <c r="H20" s="985"/>
      <c r="I20" s="117"/>
      <c r="J20" s="117"/>
      <c r="K20" s="117"/>
      <c r="L20" s="117"/>
      <c r="M20" s="117"/>
    </row>
    <row r="21" spans="1:13" ht="15.6">
      <c r="A21" s="117"/>
      <c r="B21" s="955" t="s">
        <v>69</v>
      </c>
      <c r="C21" s="955"/>
      <c r="D21" s="955"/>
      <c r="E21" s="956" t="s">
        <v>250</v>
      </c>
      <c r="F21" s="956"/>
      <c r="G21" s="956" t="s">
        <v>251</v>
      </c>
      <c r="H21" s="956"/>
      <c r="I21" s="118" t="s">
        <v>252</v>
      </c>
      <c r="J21" s="118"/>
      <c r="K21" s="119" t="s">
        <v>253</v>
      </c>
      <c r="L21" s="118"/>
      <c r="M21" s="118"/>
    </row>
    <row r="22" spans="1:13">
      <c r="A22" s="117"/>
      <c r="B22" s="1025" t="s">
        <v>30</v>
      </c>
      <c r="C22" s="1025"/>
      <c r="D22" s="1025"/>
      <c r="E22" s="814">
        <v>39.520000000000003</v>
      </c>
      <c r="F22" s="815"/>
      <c r="G22" s="361" t="s">
        <v>342</v>
      </c>
      <c r="H22" s="361"/>
      <c r="I22" s="118" t="s">
        <v>254</v>
      </c>
      <c r="J22" s="118"/>
      <c r="K22" s="119" t="s">
        <v>255</v>
      </c>
      <c r="L22" s="118"/>
      <c r="M22" s="118"/>
    </row>
    <row r="23" spans="1:13" ht="16.5" customHeight="1">
      <c r="A23" s="117"/>
      <c r="B23" s="1025" t="s">
        <v>14</v>
      </c>
      <c r="C23" s="1025"/>
      <c r="D23" s="1025"/>
      <c r="E23" s="814">
        <v>7.82</v>
      </c>
      <c r="F23" s="815">
        <v>7.95</v>
      </c>
      <c r="G23" s="361" t="s">
        <v>342</v>
      </c>
      <c r="H23" s="361"/>
      <c r="I23" s="118" t="s">
        <v>256</v>
      </c>
      <c r="J23" s="118"/>
      <c r="K23" s="118" t="s">
        <v>257</v>
      </c>
      <c r="L23" s="118"/>
      <c r="M23" s="118"/>
    </row>
    <row r="24" spans="1:13" ht="16.5" customHeight="1">
      <c r="A24" s="117"/>
      <c r="B24" s="979" t="s">
        <v>31</v>
      </c>
      <c r="C24" s="979"/>
      <c r="D24" s="979"/>
      <c r="E24" s="814">
        <v>22</v>
      </c>
      <c r="F24" s="815">
        <v>20</v>
      </c>
      <c r="G24" s="361" t="s">
        <v>342</v>
      </c>
      <c r="H24" s="361"/>
      <c r="I24" s="1031" t="s">
        <v>258</v>
      </c>
      <c r="J24" s="1032"/>
      <c r="K24" s="1032"/>
      <c r="L24" s="1032"/>
      <c r="M24" s="1032"/>
    </row>
    <row r="25" spans="1:13" ht="38.25" customHeight="1">
      <c r="A25" s="117"/>
      <c r="B25" s="1026" t="s">
        <v>343</v>
      </c>
      <c r="C25" s="1027"/>
      <c r="D25" s="1028"/>
      <c r="E25" s="814">
        <v>42.3</v>
      </c>
      <c r="F25" s="815"/>
      <c r="G25" s="361" t="s">
        <v>342</v>
      </c>
      <c r="H25" s="361"/>
      <c r="I25" s="118" t="s">
        <v>259</v>
      </c>
      <c r="J25" s="118"/>
      <c r="K25" s="118"/>
      <c r="L25" s="118"/>
      <c r="M25" s="118"/>
    </row>
    <row r="26" spans="1:13">
      <c r="A26" s="117"/>
      <c r="B26" s="979" t="s">
        <v>247</v>
      </c>
      <c r="C26" s="979"/>
      <c r="D26" s="979"/>
      <c r="E26" s="814">
        <v>21.5</v>
      </c>
      <c r="F26" s="815"/>
      <c r="G26" s="361" t="s">
        <v>342</v>
      </c>
      <c r="H26" s="361"/>
      <c r="I26" s="1033" t="s">
        <v>260</v>
      </c>
      <c r="J26" s="1033"/>
      <c r="K26" s="1033"/>
      <c r="L26" s="1034"/>
      <c r="M26" s="118"/>
    </row>
    <row r="27" spans="1:13">
      <c r="A27" s="117"/>
      <c r="B27" s="979" t="s">
        <v>349</v>
      </c>
      <c r="C27" s="979"/>
      <c r="D27" s="979"/>
      <c r="E27" s="814">
        <v>7.52</v>
      </c>
      <c r="F27" s="815"/>
      <c r="G27" s="361" t="s">
        <v>342</v>
      </c>
      <c r="H27" s="361"/>
      <c r="I27" s="118" t="s">
        <v>261</v>
      </c>
      <c r="J27" s="118"/>
      <c r="K27" s="118"/>
      <c r="L27" s="118"/>
      <c r="M27" s="118"/>
    </row>
    <row r="28" spans="1:13">
      <c r="A28" s="117"/>
      <c r="B28" s="979" t="s">
        <v>362</v>
      </c>
      <c r="C28" s="979"/>
      <c r="D28" s="979"/>
      <c r="E28" s="814">
        <v>12.8</v>
      </c>
      <c r="F28" s="815"/>
      <c r="G28" s="361" t="s">
        <v>342</v>
      </c>
      <c r="H28" s="361"/>
      <c r="I28" s="118"/>
      <c r="J28" s="118"/>
      <c r="K28" s="118"/>
      <c r="L28" s="118"/>
      <c r="M28" s="118"/>
    </row>
    <row r="29" spans="1:13">
      <c r="B29" s="979" t="s">
        <v>363</v>
      </c>
      <c r="C29" s="979"/>
      <c r="D29" s="979"/>
      <c r="E29" s="814">
        <v>7.58</v>
      </c>
      <c r="F29" s="815"/>
      <c r="G29" s="361" t="s">
        <v>342</v>
      </c>
      <c r="H29" s="361"/>
      <c r="I29" s="118" t="s">
        <v>348</v>
      </c>
      <c r="J29" s="118"/>
      <c r="K29" s="118"/>
      <c r="L29" s="118"/>
      <c r="M29" s="118"/>
    </row>
    <row r="30" spans="1:13" ht="14.4">
      <c r="B30" s="979" t="s">
        <v>248</v>
      </c>
      <c r="C30" s="979"/>
      <c r="D30" s="979"/>
      <c r="E30" s="814">
        <v>16.850000000000001</v>
      </c>
      <c r="F30" s="815"/>
      <c r="G30" s="361" t="s">
        <v>342</v>
      </c>
      <c r="H30" s="361"/>
      <c r="I30" s="120" t="s">
        <v>318</v>
      </c>
      <c r="J30" s="118"/>
      <c r="K30" s="118"/>
      <c r="L30" s="118"/>
      <c r="M30" s="118"/>
    </row>
    <row r="31" spans="1:13" ht="16.5" customHeight="1">
      <c r="B31" s="979" t="s">
        <v>477</v>
      </c>
      <c r="C31" s="979"/>
      <c r="D31" s="979"/>
      <c r="E31" s="814">
        <v>29.85</v>
      </c>
      <c r="F31" s="815"/>
      <c r="G31" s="361" t="s">
        <v>342</v>
      </c>
      <c r="H31" s="361"/>
      <c r="I31" s="118"/>
      <c r="J31" s="118"/>
      <c r="K31" s="118"/>
      <c r="L31" s="118"/>
      <c r="M31" s="118"/>
    </row>
    <row r="32" spans="1:13">
      <c r="B32" s="980" t="s">
        <v>478</v>
      </c>
      <c r="C32" s="979"/>
      <c r="D32" s="979"/>
      <c r="E32" s="814">
        <v>10</v>
      </c>
      <c r="F32" s="815"/>
      <c r="G32" s="361" t="s">
        <v>342</v>
      </c>
      <c r="H32" s="361"/>
      <c r="I32" s="118" t="s">
        <v>420</v>
      </c>
      <c r="J32" s="118"/>
      <c r="K32" s="118"/>
      <c r="L32" s="118"/>
      <c r="M32" s="118"/>
    </row>
    <row r="33" spans="1:16" ht="14.4">
      <c r="B33" s="980" t="s">
        <v>480</v>
      </c>
      <c r="C33" s="979"/>
      <c r="D33" s="979"/>
      <c r="E33" s="814">
        <v>12.46</v>
      </c>
      <c r="F33" s="815"/>
      <c r="G33" s="361" t="s">
        <v>342</v>
      </c>
      <c r="H33" s="361"/>
      <c r="I33" s="120" t="s">
        <v>421</v>
      </c>
      <c r="J33" s="118"/>
      <c r="K33" s="118"/>
      <c r="L33" s="118"/>
      <c r="M33" s="118"/>
    </row>
    <row r="34" spans="1:16" ht="14.4">
      <c r="B34" s="980" t="s">
        <v>419</v>
      </c>
      <c r="C34" s="979"/>
      <c r="D34" s="979"/>
      <c r="E34" s="814">
        <v>26.9</v>
      </c>
      <c r="F34" s="815"/>
      <c r="G34" s="361" t="s">
        <v>342</v>
      </c>
      <c r="H34" s="361"/>
      <c r="I34" s="118" t="s">
        <v>422</v>
      </c>
      <c r="J34" s="118"/>
      <c r="K34" s="118"/>
      <c r="L34" s="118"/>
      <c r="M34" s="118"/>
      <c r="P34"/>
    </row>
    <row r="35" spans="1:16" ht="14.4">
      <c r="B35" s="980" t="s">
        <v>75</v>
      </c>
      <c r="C35" s="979"/>
      <c r="D35" s="979"/>
      <c r="E35" s="814">
        <v>23</v>
      </c>
      <c r="F35" s="815"/>
      <c r="G35" s="361" t="s">
        <v>342</v>
      </c>
      <c r="H35" s="361"/>
      <c r="I35" s="118" t="s">
        <v>423</v>
      </c>
      <c r="J35" s="118"/>
      <c r="K35" s="118"/>
      <c r="L35" s="118"/>
      <c r="M35" s="118"/>
      <c r="P35" s="313"/>
    </row>
    <row r="36" spans="1:16" ht="14.4">
      <c r="B36" s="980" t="s">
        <v>76</v>
      </c>
      <c r="C36" s="979"/>
      <c r="D36" s="979"/>
      <c r="E36" s="568">
        <v>89</v>
      </c>
      <c r="F36" s="568"/>
      <c r="G36" s="361" t="s">
        <v>342</v>
      </c>
      <c r="H36" s="361"/>
      <c r="I36" s="118"/>
      <c r="J36" s="118"/>
      <c r="K36" s="118"/>
      <c r="L36" s="118"/>
      <c r="M36" s="118"/>
      <c r="P36"/>
    </row>
    <row r="37" spans="1:16" ht="14.4">
      <c r="B37" s="980" t="s">
        <v>77</v>
      </c>
      <c r="C37" s="979"/>
      <c r="D37" s="979"/>
      <c r="E37" s="568">
        <v>2.04</v>
      </c>
      <c r="F37" s="568"/>
      <c r="G37" s="361" t="s">
        <v>342</v>
      </c>
      <c r="H37" s="361"/>
      <c r="P37" s="313"/>
    </row>
    <row r="38" spans="1:16" ht="14.4">
      <c r="B38" s="980" t="s">
        <v>45</v>
      </c>
      <c r="C38" s="979" t="s">
        <v>469</v>
      </c>
      <c r="D38" s="979"/>
      <c r="E38" s="568">
        <v>25.9</v>
      </c>
      <c r="F38" s="568"/>
      <c r="G38" s="361" t="s">
        <v>342</v>
      </c>
      <c r="H38" s="361"/>
      <c r="P38" s="313"/>
    </row>
    <row r="39" spans="1:16" ht="14.4">
      <c r="B39" s="980" t="s">
        <v>651</v>
      </c>
      <c r="C39" s="979" t="s">
        <v>469</v>
      </c>
      <c r="D39" s="979"/>
      <c r="E39" s="568">
        <v>50.29</v>
      </c>
      <c r="F39" s="568"/>
      <c r="G39" s="361" t="s">
        <v>342</v>
      </c>
      <c r="H39" s="361"/>
      <c r="P39" s="313"/>
    </row>
    <row r="40" spans="1:16" ht="15" thickBot="1">
      <c r="B40" s="348"/>
      <c r="C40" s="350"/>
      <c r="D40" s="349"/>
      <c r="E40" s="261"/>
      <c r="F40" s="261"/>
      <c r="G40" s="261"/>
      <c r="H40" s="261"/>
      <c r="I40" s="117"/>
      <c r="J40" s="117"/>
      <c r="K40" s="117"/>
      <c r="L40" s="117"/>
      <c r="M40" s="117"/>
      <c r="P40" s="313"/>
    </row>
    <row r="41" spans="1:16" ht="14.4">
      <c r="A41" s="357"/>
      <c r="B41" s="358"/>
      <c r="C41" s="359"/>
      <c r="D41" s="360"/>
      <c r="E41" s="356"/>
      <c r="F41" s="356"/>
      <c r="G41" s="356"/>
      <c r="H41" s="356"/>
      <c r="I41" s="356"/>
      <c r="J41" s="356"/>
      <c r="K41" s="356"/>
      <c r="L41" s="356"/>
      <c r="M41" s="356"/>
      <c r="P41" s="313"/>
    </row>
    <row r="42" spans="1:16" ht="18">
      <c r="A42" s="117"/>
      <c r="B42" s="914" t="s">
        <v>505</v>
      </c>
      <c r="C42" s="914"/>
      <c r="D42" s="914"/>
      <c r="E42" s="914"/>
      <c r="F42" s="914"/>
      <c r="G42" s="914"/>
      <c r="H42" s="914"/>
      <c r="I42" s="914"/>
      <c r="J42" s="914"/>
      <c r="K42" s="914"/>
      <c r="L42" s="914"/>
      <c r="M42" s="914"/>
    </row>
    <row r="43" spans="1:16" ht="14.4">
      <c r="B43" s="348"/>
      <c r="C43" s="350"/>
      <c r="D43" s="349"/>
      <c r="E43" s="261"/>
      <c r="F43" s="261"/>
      <c r="G43" s="261"/>
      <c r="H43" s="261"/>
      <c r="I43" s="117"/>
      <c r="J43" s="117"/>
      <c r="K43" s="117"/>
      <c r="L43" s="117"/>
      <c r="M43" s="117"/>
      <c r="P43" s="313"/>
    </row>
    <row r="44" spans="1:16" ht="14.4">
      <c r="B44" s="985" t="s">
        <v>506</v>
      </c>
      <c r="C44" s="985"/>
      <c r="D44" s="985"/>
      <c r="E44" s="985"/>
      <c r="F44" s="985"/>
      <c r="G44" s="985"/>
      <c r="H44" s="985"/>
      <c r="P44" s="313"/>
    </row>
    <row r="45" spans="1:16" ht="14.4">
      <c r="B45" s="1035" t="s">
        <v>494</v>
      </c>
      <c r="C45" s="1035"/>
      <c r="D45" s="1035"/>
      <c r="E45" s="568">
        <v>57300</v>
      </c>
      <c r="F45" s="568"/>
      <c r="G45" s="919" t="s">
        <v>512</v>
      </c>
      <c r="H45" s="920"/>
      <c r="P45" s="313"/>
    </row>
    <row r="46" spans="1:16" ht="14.4">
      <c r="B46" s="121" t="s">
        <v>502</v>
      </c>
      <c r="C46" s="122"/>
      <c r="D46" s="123"/>
      <c r="E46" s="1036">
        <v>243950</v>
      </c>
      <c r="F46" s="1037"/>
      <c r="G46" s="919" t="s">
        <v>262</v>
      </c>
      <c r="H46" s="920"/>
      <c r="I46" s="120" t="s">
        <v>263</v>
      </c>
      <c r="J46" s="118"/>
      <c r="K46" s="118"/>
      <c r="L46" s="118"/>
      <c r="M46" s="118"/>
      <c r="P46" s="115"/>
    </row>
    <row r="47" spans="1:16" ht="14.4">
      <c r="B47" s="321" t="s">
        <v>503</v>
      </c>
      <c r="C47" s="322"/>
      <c r="D47" s="323"/>
      <c r="E47" s="1036">
        <v>147735</v>
      </c>
      <c r="F47" s="1037"/>
      <c r="G47" s="919" t="s">
        <v>342</v>
      </c>
      <c r="H47" s="920"/>
      <c r="I47" s="118" t="s">
        <v>265</v>
      </c>
      <c r="J47" s="118"/>
      <c r="K47" s="118"/>
      <c r="L47" s="118"/>
      <c r="M47" s="118"/>
      <c r="P47" s="115"/>
    </row>
    <row r="48" spans="1:16">
      <c r="B48" s="1035" t="s">
        <v>267</v>
      </c>
      <c r="C48" s="1035"/>
      <c r="D48" s="1035"/>
      <c r="E48" s="1036">
        <v>20000</v>
      </c>
      <c r="F48" s="1037"/>
      <c r="G48" s="1039" t="s">
        <v>342</v>
      </c>
      <c r="H48" s="1039"/>
      <c r="I48" s="118" t="s">
        <v>266</v>
      </c>
      <c r="J48" s="118"/>
      <c r="K48" s="118"/>
      <c r="L48" s="118"/>
      <c r="M48" s="118"/>
    </row>
    <row r="49" spans="2:14">
      <c r="B49" s="570" t="s">
        <v>314</v>
      </c>
      <c r="C49" s="570"/>
      <c r="D49" s="570"/>
      <c r="E49" s="723">
        <v>974304.85</v>
      </c>
      <c r="F49" s="723"/>
      <c r="G49" s="723" t="s">
        <v>398</v>
      </c>
      <c r="H49" s="723"/>
    </row>
    <row r="51" spans="2:14">
      <c r="B51" s="915" t="s">
        <v>507</v>
      </c>
      <c r="C51" s="915"/>
      <c r="D51" s="915"/>
      <c r="E51" s="915"/>
      <c r="F51" s="915"/>
      <c r="G51" s="915"/>
      <c r="H51" s="915"/>
      <c r="I51" s="915"/>
      <c r="J51" s="915"/>
      <c r="K51" s="915"/>
      <c r="L51" s="915"/>
      <c r="M51" s="915"/>
    </row>
    <row r="52" spans="2:14" ht="14.4">
      <c r="B52" s="985" t="s">
        <v>12</v>
      </c>
      <c r="C52" s="985"/>
      <c r="D52" s="985"/>
      <c r="E52" s="985"/>
      <c r="F52" s="985"/>
      <c r="G52" s="985"/>
      <c r="H52" s="985"/>
      <c r="I52" s="125" t="s">
        <v>268</v>
      </c>
      <c r="J52" s="126"/>
      <c r="K52" s="126"/>
      <c r="L52" s="126"/>
      <c r="M52" s="127"/>
    </row>
    <row r="53" spans="2:14" ht="16.2" thickBot="1">
      <c r="B53" s="986" t="s">
        <v>69</v>
      </c>
      <c r="C53" s="986"/>
      <c r="D53" s="986"/>
      <c r="E53" s="996" t="s">
        <v>250</v>
      </c>
      <c r="F53" s="997"/>
      <c r="G53" s="991" t="s">
        <v>251</v>
      </c>
      <c r="H53" s="992"/>
      <c r="I53" s="992"/>
      <c r="J53" s="992"/>
      <c r="K53" s="992"/>
      <c r="L53" s="992"/>
      <c r="M53" s="993"/>
    </row>
    <row r="54" spans="2:14" ht="18.75" customHeight="1">
      <c r="B54" s="981" t="s">
        <v>276</v>
      </c>
      <c r="C54" s="982"/>
      <c r="D54" s="983"/>
      <c r="E54" s="984">
        <v>3.649</v>
      </c>
      <c r="F54" s="984"/>
      <c r="G54" s="998" t="s">
        <v>495</v>
      </c>
      <c r="H54" s="999"/>
      <c r="I54" s="999"/>
      <c r="J54" s="999"/>
      <c r="K54" s="999"/>
      <c r="L54" s="999"/>
      <c r="M54" s="1000"/>
      <c r="N54" s="124"/>
    </row>
    <row r="55" spans="2:14" ht="14.4" thickBot="1">
      <c r="B55" s="1008" t="s">
        <v>275</v>
      </c>
      <c r="C55" s="1009"/>
      <c r="D55" s="1010"/>
      <c r="E55" s="1038">
        <v>4.6989999999999998</v>
      </c>
      <c r="F55" s="1038"/>
      <c r="G55" s="1001"/>
      <c r="H55" s="1002"/>
      <c r="I55" s="1002"/>
      <c r="J55" s="1002"/>
      <c r="K55" s="1002"/>
      <c r="L55" s="1002"/>
      <c r="M55" s="1003"/>
    </row>
    <row r="56" spans="2:14" ht="16.5" customHeight="1">
      <c r="B56" s="981" t="s">
        <v>276</v>
      </c>
      <c r="C56" s="982"/>
      <c r="D56" s="983"/>
      <c r="E56" s="984">
        <v>3.48</v>
      </c>
      <c r="F56" s="984"/>
      <c r="G56" s="1040" t="s">
        <v>277</v>
      </c>
      <c r="H56" s="999"/>
      <c r="I56" s="999"/>
      <c r="J56" s="999"/>
      <c r="K56" s="999"/>
      <c r="L56" s="999"/>
      <c r="M56" s="1000"/>
    </row>
    <row r="57" spans="2:14" ht="14.4" thickBot="1">
      <c r="B57" s="1008" t="s">
        <v>275</v>
      </c>
      <c r="C57" s="1009"/>
      <c r="D57" s="1010"/>
      <c r="E57" s="1038">
        <v>4.87</v>
      </c>
      <c r="F57" s="1038"/>
      <c r="G57" s="1001"/>
      <c r="H57" s="1002"/>
      <c r="I57" s="1002"/>
      <c r="J57" s="1002"/>
      <c r="K57" s="1002"/>
      <c r="L57" s="1002"/>
      <c r="M57" s="1003"/>
    </row>
    <row r="58" spans="2:14">
      <c r="B58" s="981" t="s">
        <v>276</v>
      </c>
      <c r="C58" s="982"/>
      <c r="D58" s="983"/>
      <c r="E58" s="984">
        <v>3.669</v>
      </c>
      <c r="F58" s="984"/>
      <c r="G58" s="1040" t="s">
        <v>496</v>
      </c>
      <c r="H58" s="999"/>
      <c r="I58" s="999"/>
      <c r="J58" s="999"/>
      <c r="K58" s="999"/>
      <c r="L58" s="999"/>
      <c r="M58" s="1000"/>
    </row>
    <row r="59" spans="2:14">
      <c r="B59" s="1008" t="s">
        <v>275</v>
      </c>
      <c r="C59" s="1009"/>
      <c r="D59" s="1010"/>
      <c r="E59" s="1038">
        <v>4.6689999999999996</v>
      </c>
      <c r="F59" s="1038"/>
      <c r="G59" s="1001"/>
      <c r="H59" s="1002"/>
      <c r="I59" s="1002"/>
      <c r="J59" s="1002"/>
      <c r="K59" s="1002"/>
      <c r="L59" s="1002"/>
      <c r="M59" s="1003"/>
    </row>
    <row r="60" spans="2:14" ht="14.4" thickBot="1">
      <c r="B60" s="1041" t="s">
        <v>278</v>
      </c>
      <c r="C60" s="1042"/>
      <c r="D60" s="1042"/>
      <c r="E60" s="1042"/>
      <c r="F60" s="1043"/>
      <c r="G60" s="128"/>
      <c r="H60" s="128"/>
      <c r="I60" s="128"/>
      <c r="J60" s="128"/>
      <c r="K60" s="128"/>
      <c r="L60" s="128"/>
      <c r="M60" s="128"/>
    </row>
    <row r="61" spans="2:14">
      <c r="B61" s="981" t="s">
        <v>276</v>
      </c>
      <c r="C61" s="982"/>
      <c r="D61" s="983"/>
      <c r="E61" s="984">
        <f>(E54+E56+E58)/3</f>
        <v>3.5993333333333335</v>
      </c>
      <c r="F61" s="1044"/>
      <c r="G61" s="128"/>
      <c r="H61" s="128"/>
      <c r="I61" s="128"/>
      <c r="J61" s="128"/>
      <c r="K61" s="128"/>
      <c r="L61" s="128"/>
      <c r="M61" s="128"/>
    </row>
    <row r="62" spans="2:14" ht="14.4" thickBot="1">
      <c r="B62" s="1008" t="s">
        <v>275</v>
      </c>
      <c r="C62" s="1009"/>
      <c r="D62" s="1010"/>
      <c r="E62" s="1011">
        <f>(E55+E57+E59)/3</f>
        <v>4.7459999999999996</v>
      </c>
      <c r="F62" s="1012"/>
    </row>
    <row r="64" spans="2:14" ht="14.4">
      <c r="B64" s="985" t="s">
        <v>269</v>
      </c>
      <c r="C64" s="985"/>
      <c r="D64" s="985"/>
      <c r="E64" s="985"/>
      <c r="F64" s="985"/>
      <c r="G64" s="985"/>
      <c r="H64" s="985"/>
      <c r="I64" s="115" t="s">
        <v>270</v>
      </c>
    </row>
    <row r="65" spans="2:13" ht="15.6">
      <c r="B65" s="955" t="s">
        <v>69</v>
      </c>
      <c r="C65" s="955"/>
      <c r="D65" s="955"/>
      <c r="E65" s="924" t="s">
        <v>250</v>
      </c>
      <c r="F65" s="956"/>
      <c r="G65" s="956" t="s">
        <v>251</v>
      </c>
      <c r="H65" s="956"/>
      <c r="I65" s="115" t="s">
        <v>271</v>
      </c>
    </row>
    <row r="66" spans="2:13">
      <c r="B66" s="919" t="s">
        <v>279</v>
      </c>
      <c r="C66" s="973"/>
      <c r="D66" s="920"/>
      <c r="E66" s="1004">
        <v>1520</v>
      </c>
      <c r="F66" s="1005"/>
      <c r="G66" s="919"/>
      <c r="H66" s="920"/>
      <c r="I66" s="116" t="s">
        <v>272</v>
      </c>
    </row>
    <row r="67" spans="2:13" ht="14.4">
      <c r="B67" s="919" t="s">
        <v>280</v>
      </c>
      <c r="C67" s="973"/>
      <c r="D67" s="920"/>
      <c r="E67" s="1004">
        <v>450</v>
      </c>
      <c r="F67" s="1005"/>
      <c r="G67" s="919"/>
      <c r="H67" s="920"/>
      <c r="I67" s="115" t="s">
        <v>273</v>
      </c>
    </row>
    <row r="68" spans="2:13" ht="14.4">
      <c r="B68" s="250"/>
      <c r="C68" s="250"/>
      <c r="D68" s="250"/>
      <c r="E68" s="262"/>
      <c r="F68" s="262"/>
      <c r="G68" s="250"/>
      <c r="H68" s="250"/>
      <c r="I68" s="115"/>
    </row>
    <row r="69" spans="2:13" ht="14.4">
      <c r="B69" s="250"/>
      <c r="C69" s="250"/>
      <c r="D69" s="250"/>
      <c r="E69" s="262"/>
      <c r="F69" s="262"/>
      <c r="G69" s="250"/>
      <c r="H69" s="250"/>
      <c r="I69" s="115"/>
    </row>
    <row r="70" spans="2:13">
      <c r="B70" s="987" t="s">
        <v>508</v>
      </c>
      <c r="C70" s="987"/>
      <c r="D70" s="987"/>
      <c r="E70" s="987"/>
      <c r="F70" s="987"/>
      <c r="G70" s="987"/>
      <c r="H70" s="987"/>
      <c r="I70" s="987"/>
      <c r="J70" s="987"/>
    </row>
    <row r="71" spans="2:13">
      <c r="B71" s="915" t="s">
        <v>515</v>
      </c>
      <c r="C71" s="915"/>
      <c r="D71" s="915"/>
      <c r="E71" s="915"/>
      <c r="F71" s="915"/>
      <c r="G71" s="915"/>
      <c r="H71" s="915"/>
      <c r="I71" s="915"/>
      <c r="J71" s="915"/>
    </row>
    <row r="72" spans="2:13">
      <c r="B72" s="988" t="s">
        <v>336</v>
      </c>
      <c r="C72" s="989"/>
      <c r="D72" s="989"/>
      <c r="E72" s="989"/>
      <c r="F72" s="989"/>
      <c r="G72" s="989"/>
      <c r="H72" s="989"/>
      <c r="I72" s="989"/>
      <c r="J72" s="990"/>
    </row>
    <row r="73" spans="2:13" ht="16.5" customHeight="1">
      <c r="B73" s="245" t="s">
        <v>378</v>
      </c>
      <c r="C73" s="245" t="s">
        <v>379</v>
      </c>
      <c r="D73" s="452" t="s">
        <v>380</v>
      </c>
      <c r="E73" s="452"/>
      <c r="F73" s="452"/>
      <c r="G73" s="452"/>
      <c r="H73" s="452"/>
      <c r="I73" s="245" t="s">
        <v>381</v>
      </c>
      <c r="J73" s="245" t="s">
        <v>382</v>
      </c>
    </row>
    <row r="74" spans="2:13">
      <c r="B74" s="246" t="s">
        <v>427</v>
      </c>
      <c r="C74" s="246" t="s">
        <v>375</v>
      </c>
      <c r="D74" s="952" t="s">
        <v>428</v>
      </c>
      <c r="E74" s="952"/>
      <c r="F74" s="952"/>
      <c r="G74" s="952"/>
      <c r="H74" s="952"/>
      <c r="I74" s="246" t="s">
        <v>377</v>
      </c>
      <c r="J74" s="353">
        <v>1611</v>
      </c>
    </row>
    <row r="75" spans="2:13" ht="16.5" customHeight="1">
      <c r="B75" s="246" t="s">
        <v>374</v>
      </c>
      <c r="C75" s="246" t="s">
        <v>375</v>
      </c>
      <c r="D75" s="952" t="s">
        <v>376</v>
      </c>
      <c r="E75" s="952"/>
      <c r="F75" s="952"/>
      <c r="G75" s="952"/>
      <c r="H75" s="952"/>
      <c r="I75" s="246" t="s">
        <v>377</v>
      </c>
      <c r="J75" s="353">
        <v>1890</v>
      </c>
      <c r="L75" s="244"/>
      <c r="M75" s="243"/>
    </row>
    <row r="76" spans="2:13" ht="11.25" customHeight="1">
      <c r="B76" s="242"/>
      <c r="C76" s="242"/>
      <c r="D76" s="242"/>
      <c r="E76" s="242"/>
      <c r="F76" s="242"/>
      <c r="G76" s="242"/>
      <c r="H76" s="242"/>
      <c r="I76" s="242"/>
      <c r="J76" s="244"/>
      <c r="L76" s="244"/>
      <c r="M76" s="243"/>
    </row>
    <row r="77" spans="2:13">
      <c r="B77" s="116" t="s">
        <v>463</v>
      </c>
    </row>
    <row r="78" spans="2:13">
      <c r="B78" s="970" t="s">
        <v>383</v>
      </c>
      <c r="C78" s="970"/>
      <c r="D78" s="247">
        <v>600</v>
      </c>
    </row>
    <row r="80" spans="2:13">
      <c r="B80" s="974" t="s">
        <v>391</v>
      </c>
      <c r="C80" s="975"/>
      <c r="D80" s="975"/>
      <c r="E80" s="975"/>
      <c r="F80" s="975"/>
      <c r="G80" s="975"/>
      <c r="H80" s="975"/>
      <c r="I80" s="975"/>
      <c r="J80" s="975"/>
    </row>
    <row r="81" spans="1:13">
      <c r="B81" s="245" t="s">
        <v>378</v>
      </c>
      <c r="C81" s="245" t="s">
        <v>379</v>
      </c>
      <c r="D81" s="452" t="s">
        <v>380</v>
      </c>
      <c r="E81" s="452"/>
      <c r="F81" s="452"/>
      <c r="G81" s="452"/>
      <c r="H81" s="452"/>
      <c r="I81" s="245" t="s">
        <v>381</v>
      </c>
      <c r="J81" s="245" t="s">
        <v>382</v>
      </c>
    </row>
    <row r="82" spans="1:13">
      <c r="B82" s="246" t="s">
        <v>388</v>
      </c>
      <c r="C82" s="246" t="s">
        <v>375</v>
      </c>
      <c r="D82" s="937" t="s">
        <v>389</v>
      </c>
      <c r="E82" s="938"/>
      <c r="F82" s="938"/>
      <c r="G82" s="938"/>
      <c r="H82" s="939"/>
      <c r="I82" s="248" t="s">
        <v>390</v>
      </c>
      <c r="J82" s="354">
        <v>80.98</v>
      </c>
    </row>
    <row r="83" spans="1:13">
      <c r="B83" s="940" t="s">
        <v>392</v>
      </c>
      <c r="C83" s="941"/>
      <c r="D83" s="941"/>
      <c r="E83" s="941"/>
      <c r="F83" s="941"/>
      <c r="G83" s="941"/>
      <c r="H83" s="942"/>
      <c r="I83" s="249"/>
      <c r="J83" s="362">
        <v>176</v>
      </c>
    </row>
    <row r="84" spans="1:13">
      <c r="B84" s="967" t="s">
        <v>393</v>
      </c>
      <c r="C84" s="968"/>
      <c r="D84" s="968"/>
      <c r="E84" s="968"/>
      <c r="F84" s="968"/>
      <c r="G84" s="968"/>
      <c r="H84" s="969"/>
      <c r="I84" s="957">
        <f>J82*J83</f>
        <v>14252.480000000001</v>
      </c>
      <c r="J84" s="958"/>
    </row>
    <row r="85" spans="1:13">
      <c r="A85" s="259"/>
      <c r="B85" s="256"/>
      <c r="C85" s="256"/>
      <c r="D85" s="256"/>
      <c r="E85" s="256"/>
      <c r="F85" s="256"/>
      <c r="G85" s="256"/>
      <c r="H85" s="256"/>
      <c r="I85" s="257"/>
      <c r="J85" s="257"/>
      <c r="K85" s="117"/>
      <c r="L85" s="117"/>
      <c r="M85" s="117"/>
    </row>
    <row r="86" spans="1:13">
      <c r="B86" s="934" t="s">
        <v>416</v>
      </c>
      <c r="C86" s="935"/>
      <c r="D86" s="935"/>
      <c r="E86" s="935"/>
      <c r="F86" s="935"/>
      <c r="G86" s="935"/>
      <c r="H86" s="935"/>
      <c r="I86" s="935"/>
      <c r="J86" s="936"/>
    </row>
    <row r="87" spans="1:13">
      <c r="B87" s="245" t="s">
        <v>378</v>
      </c>
      <c r="C87" s="245" t="s">
        <v>379</v>
      </c>
      <c r="D87" s="452" t="s">
        <v>380</v>
      </c>
      <c r="E87" s="452"/>
      <c r="F87" s="452"/>
      <c r="G87" s="452"/>
      <c r="H87" s="452"/>
      <c r="I87" s="245" t="s">
        <v>381</v>
      </c>
      <c r="J87" s="245" t="s">
        <v>382</v>
      </c>
    </row>
    <row r="88" spans="1:13">
      <c r="B88" s="246" t="s">
        <v>399</v>
      </c>
      <c r="C88" s="246" t="s">
        <v>375</v>
      </c>
      <c r="D88" s="937" t="s">
        <v>400</v>
      </c>
      <c r="E88" s="938"/>
      <c r="F88" s="938"/>
      <c r="G88" s="938"/>
      <c r="H88" s="939"/>
      <c r="I88" s="248" t="s">
        <v>390</v>
      </c>
      <c r="J88" s="354">
        <v>88</v>
      </c>
    </row>
    <row r="89" spans="1:13" ht="16.5" customHeight="1">
      <c r="B89" s="940" t="s">
        <v>392</v>
      </c>
      <c r="C89" s="941"/>
      <c r="D89" s="941"/>
      <c r="E89" s="941"/>
      <c r="F89" s="941"/>
      <c r="G89" s="941"/>
      <c r="H89" s="942"/>
      <c r="I89" s="249"/>
      <c r="J89" s="362">
        <v>176</v>
      </c>
    </row>
    <row r="90" spans="1:13">
      <c r="B90" s="967" t="s">
        <v>393</v>
      </c>
      <c r="C90" s="968"/>
      <c r="D90" s="968"/>
      <c r="E90" s="968"/>
      <c r="F90" s="968"/>
      <c r="G90" s="968"/>
      <c r="H90" s="969"/>
      <c r="I90" s="957">
        <f>J88*J89</f>
        <v>15488</v>
      </c>
      <c r="J90" s="958"/>
    </row>
    <row r="91" spans="1:13">
      <c r="A91" s="259"/>
      <c r="B91" s="254"/>
      <c r="C91" s="254"/>
      <c r="D91" s="254"/>
      <c r="E91" s="254"/>
      <c r="F91" s="254"/>
      <c r="G91" s="254"/>
      <c r="H91" s="254"/>
      <c r="I91" s="255"/>
      <c r="J91" s="255"/>
    </row>
    <row r="92" spans="1:13">
      <c r="B92" s="934" t="s">
        <v>417</v>
      </c>
      <c r="C92" s="935"/>
      <c r="D92" s="935"/>
      <c r="E92" s="935"/>
      <c r="F92" s="935"/>
      <c r="G92" s="935"/>
      <c r="H92" s="935"/>
      <c r="I92" s="935"/>
      <c r="J92" s="936"/>
    </row>
    <row r="93" spans="1:13">
      <c r="B93" s="245" t="s">
        <v>378</v>
      </c>
      <c r="C93" s="245" t="s">
        <v>379</v>
      </c>
      <c r="D93" s="452" t="s">
        <v>380</v>
      </c>
      <c r="E93" s="452"/>
      <c r="F93" s="452"/>
      <c r="G93" s="452"/>
      <c r="H93" s="452"/>
      <c r="I93" s="245" t="s">
        <v>381</v>
      </c>
      <c r="J93" s="245" t="s">
        <v>382</v>
      </c>
    </row>
    <row r="94" spans="1:13" ht="16.5" customHeight="1">
      <c r="B94" s="246" t="s">
        <v>414</v>
      </c>
      <c r="C94" s="246" t="s">
        <v>375</v>
      </c>
      <c r="D94" s="937" t="s">
        <v>415</v>
      </c>
      <c r="E94" s="938"/>
      <c r="F94" s="938"/>
      <c r="G94" s="938"/>
      <c r="H94" s="939"/>
      <c r="I94" s="248" t="s">
        <v>390</v>
      </c>
      <c r="J94" s="354">
        <v>81</v>
      </c>
    </row>
    <row r="95" spans="1:13">
      <c r="B95" s="940" t="s">
        <v>392</v>
      </c>
      <c r="C95" s="941"/>
      <c r="D95" s="941"/>
      <c r="E95" s="941"/>
      <c r="F95" s="941"/>
      <c r="G95" s="941"/>
      <c r="H95" s="942"/>
      <c r="I95" s="249"/>
      <c r="J95" s="362">
        <v>200</v>
      </c>
    </row>
    <row r="96" spans="1:13">
      <c r="B96" s="967" t="s">
        <v>418</v>
      </c>
      <c r="C96" s="968"/>
      <c r="D96" s="968"/>
      <c r="E96" s="968"/>
      <c r="F96" s="968"/>
      <c r="G96" s="968"/>
      <c r="H96" s="969"/>
      <c r="I96" s="957">
        <f>J94*J95</f>
        <v>16200</v>
      </c>
      <c r="J96" s="958"/>
    </row>
    <row r="97" spans="1:11">
      <c r="B97" s="254"/>
      <c r="C97" s="254"/>
      <c r="D97" s="254"/>
      <c r="E97" s="254"/>
      <c r="F97" s="254"/>
      <c r="G97" s="254"/>
      <c r="H97" s="254"/>
      <c r="I97" s="355"/>
      <c r="J97" s="255"/>
    </row>
    <row r="98" spans="1:11">
      <c r="A98" s="259"/>
      <c r="B98" s="934" t="s">
        <v>426</v>
      </c>
      <c r="C98" s="935"/>
      <c r="D98" s="935"/>
      <c r="E98" s="935"/>
      <c r="F98" s="935"/>
      <c r="G98" s="935"/>
      <c r="H98" s="935"/>
      <c r="I98" s="935"/>
      <c r="J98" s="936"/>
    </row>
    <row r="99" spans="1:11">
      <c r="A99" s="259"/>
      <c r="B99" s="959" t="s">
        <v>335</v>
      </c>
      <c r="C99" s="960"/>
      <c r="D99" s="960"/>
      <c r="E99" s="960"/>
      <c r="F99" s="960"/>
      <c r="G99" s="960"/>
      <c r="H99" s="961"/>
      <c r="I99" s="965">
        <v>32000</v>
      </c>
      <c r="J99" s="965"/>
    </row>
    <row r="100" spans="1:11">
      <c r="B100" s="962"/>
      <c r="C100" s="963"/>
      <c r="D100" s="963"/>
      <c r="E100" s="963"/>
      <c r="F100" s="963"/>
      <c r="G100" s="963"/>
      <c r="H100" s="964"/>
      <c r="I100" s="965"/>
      <c r="J100" s="965"/>
    </row>
    <row r="101" spans="1:11">
      <c r="A101" s="259"/>
      <c r="B101" s="260"/>
      <c r="C101" s="260"/>
      <c r="D101" s="260"/>
      <c r="E101" s="260"/>
      <c r="F101" s="260"/>
      <c r="G101" s="260"/>
      <c r="H101" s="260"/>
      <c r="I101" s="179"/>
      <c r="J101" s="179"/>
      <c r="K101" s="259"/>
    </row>
    <row r="102" spans="1:11">
      <c r="A102" s="259"/>
      <c r="B102" s="934" t="s">
        <v>456</v>
      </c>
      <c r="C102" s="935"/>
      <c r="D102" s="935"/>
      <c r="E102" s="935"/>
      <c r="F102" s="935"/>
      <c r="G102" s="935"/>
      <c r="H102" s="935"/>
      <c r="I102" s="935"/>
      <c r="J102" s="936"/>
      <c r="K102" s="259"/>
    </row>
    <row r="103" spans="1:11" ht="15.6">
      <c r="B103" s="955" t="s">
        <v>69</v>
      </c>
      <c r="C103" s="955"/>
      <c r="D103" s="955"/>
      <c r="E103" s="924" t="s">
        <v>250</v>
      </c>
      <c r="F103" s="956"/>
      <c r="G103" s="956" t="s">
        <v>251</v>
      </c>
      <c r="H103" s="956"/>
      <c r="I103" s="956"/>
      <c r="J103" s="956"/>
    </row>
    <row r="104" spans="1:11" ht="37.5" customHeight="1">
      <c r="B104" s="976" t="s">
        <v>516</v>
      </c>
      <c r="C104" s="977"/>
      <c r="D104" s="978"/>
      <c r="E104" s="953">
        <v>18.52</v>
      </c>
      <c r="F104" s="954"/>
      <c r="G104" s="951" t="s">
        <v>342</v>
      </c>
      <c r="H104" s="951"/>
      <c r="I104" s="951"/>
      <c r="J104" s="951"/>
    </row>
    <row r="105" spans="1:11" ht="37.5" customHeight="1">
      <c r="B105" s="971" t="s">
        <v>517</v>
      </c>
      <c r="C105" s="972"/>
      <c r="D105" s="972"/>
      <c r="E105" s="945">
        <v>21.76</v>
      </c>
      <c r="F105" s="945"/>
      <c r="G105" s="951" t="s">
        <v>342</v>
      </c>
      <c r="H105" s="951"/>
      <c r="I105" s="951"/>
      <c r="J105" s="951"/>
    </row>
    <row r="106" spans="1:11" ht="45" customHeight="1">
      <c r="B106" s="966" t="s">
        <v>518</v>
      </c>
      <c r="C106" s="966"/>
      <c r="D106" s="966"/>
      <c r="E106" s="945">
        <v>25.9</v>
      </c>
      <c r="F106" s="945"/>
      <c r="G106" s="951" t="s">
        <v>342</v>
      </c>
      <c r="H106" s="951"/>
      <c r="I106" s="951"/>
      <c r="J106" s="951"/>
    </row>
    <row r="107" spans="1:11" ht="39.75" customHeight="1">
      <c r="B107" s="943" t="s">
        <v>397</v>
      </c>
      <c r="C107" s="943"/>
      <c r="D107" s="943"/>
      <c r="E107" s="945">
        <v>49.66</v>
      </c>
      <c r="F107" s="945"/>
      <c r="G107" s="951" t="s">
        <v>342</v>
      </c>
      <c r="H107" s="951"/>
      <c r="I107" s="951"/>
      <c r="J107" s="951"/>
    </row>
    <row r="108" spans="1:11" ht="16.5" customHeight="1">
      <c r="B108" s="943" t="s">
        <v>311</v>
      </c>
      <c r="C108" s="943"/>
      <c r="D108" s="943"/>
      <c r="E108" s="945">
        <v>19.7</v>
      </c>
      <c r="F108" s="945"/>
      <c r="G108" s="931" t="s">
        <v>342</v>
      </c>
      <c r="H108" s="932"/>
      <c r="I108" s="932"/>
      <c r="J108" s="933"/>
    </row>
    <row r="109" spans="1:11">
      <c r="B109" s="950" t="s">
        <v>520</v>
      </c>
      <c r="C109" s="950"/>
      <c r="D109" s="950"/>
      <c r="E109" s="945">
        <v>435</v>
      </c>
      <c r="F109" s="945"/>
      <c r="G109" s="946" t="s">
        <v>342</v>
      </c>
      <c r="H109" s="947"/>
      <c r="I109" s="947"/>
      <c r="J109" s="948"/>
      <c r="K109" s="252"/>
    </row>
    <row r="110" spans="1:11">
      <c r="B110" s="943" t="s">
        <v>521</v>
      </c>
      <c r="C110" s="943"/>
      <c r="D110" s="943"/>
      <c r="E110" s="945">
        <v>22.9</v>
      </c>
      <c r="F110" s="945"/>
      <c r="G110" s="946" t="s">
        <v>342</v>
      </c>
      <c r="H110" s="947"/>
      <c r="I110" s="947"/>
      <c r="J110" s="948"/>
    </row>
    <row r="111" spans="1:11">
      <c r="B111" s="943" t="s">
        <v>522</v>
      </c>
      <c r="C111" s="943"/>
      <c r="D111" s="943"/>
      <c r="E111" s="945">
        <v>29.9</v>
      </c>
      <c r="F111" s="945"/>
      <c r="G111" s="946" t="s">
        <v>342</v>
      </c>
      <c r="H111" s="947"/>
      <c r="I111" s="947"/>
      <c r="J111" s="948"/>
    </row>
    <row r="112" spans="1:11" ht="41.25" customHeight="1">
      <c r="B112" s="943" t="s">
        <v>523</v>
      </c>
      <c r="C112" s="943"/>
      <c r="D112" s="943"/>
      <c r="E112" s="945">
        <v>13.7</v>
      </c>
      <c r="F112" s="945"/>
      <c r="G112" s="931" t="s">
        <v>342</v>
      </c>
      <c r="H112" s="932"/>
      <c r="I112" s="932"/>
      <c r="J112" s="933"/>
    </row>
    <row r="113" spans="2:10" ht="36" customHeight="1">
      <c r="B113" s="949" t="s">
        <v>524</v>
      </c>
      <c r="C113" s="949"/>
      <c r="D113" s="949"/>
      <c r="E113" s="945">
        <v>205.5</v>
      </c>
      <c r="F113" s="945"/>
      <c r="G113" s="931" t="s">
        <v>342</v>
      </c>
      <c r="H113" s="932"/>
      <c r="I113" s="932"/>
      <c r="J113" s="933"/>
    </row>
    <row r="114" spans="2:10" ht="16.5" customHeight="1">
      <c r="B114" s="943" t="s">
        <v>525</v>
      </c>
      <c r="C114" s="943"/>
      <c r="D114" s="943"/>
      <c r="E114" s="945">
        <v>33.68</v>
      </c>
      <c r="F114" s="945"/>
      <c r="G114" s="931" t="s">
        <v>342</v>
      </c>
      <c r="H114" s="932"/>
      <c r="I114" s="932"/>
      <c r="J114" s="933"/>
    </row>
    <row r="115" spans="2:10" ht="36.75" customHeight="1">
      <c r="B115" s="943" t="s">
        <v>526</v>
      </c>
      <c r="C115" s="943"/>
      <c r="D115" s="943"/>
      <c r="E115" s="945">
        <v>81.2</v>
      </c>
      <c r="F115" s="945"/>
      <c r="G115" s="931" t="s">
        <v>342</v>
      </c>
      <c r="H115" s="932"/>
      <c r="I115" s="932"/>
      <c r="J115" s="933"/>
    </row>
    <row r="116" spans="2:10" ht="36" customHeight="1">
      <c r="B116" s="944" t="s">
        <v>519</v>
      </c>
      <c r="C116" s="944"/>
      <c r="D116" s="944"/>
      <c r="E116" s="930">
        <v>29.5</v>
      </c>
      <c r="F116" s="930"/>
      <c r="G116" s="931" t="s">
        <v>342</v>
      </c>
      <c r="H116" s="932"/>
      <c r="I116" s="932"/>
      <c r="J116" s="933"/>
    </row>
    <row r="117" spans="2:10" ht="42" customHeight="1">
      <c r="B117" s="944" t="s">
        <v>527</v>
      </c>
      <c r="C117" s="944"/>
      <c r="D117" s="944"/>
      <c r="E117" s="930">
        <v>3915</v>
      </c>
      <c r="F117" s="930"/>
      <c r="G117" s="931" t="s">
        <v>342</v>
      </c>
      <c r="H117" s="932"/>
      <c r="I117" s="932"/>
      <c r="J117" s="933"/>
    </row>
    <row r="118" spans="2:10" ht="16.5" customHeight="1">
      <c r="B118" s="658" t="s">
        <v>321</v>
      </c>
      <c r="C118" s="658"/>
      <c r="D118" s="658"/>
      <c r="E118" s="930">
        <v>13.8</v>
      </c>
      <c r="F118" s="930"/>
      <c r="G118" s="931" t="s">
        <v>342</v>
      </c>
      <c r="H118" s="932"/>
      <c r="I118" s="932"/>
      <c r="J118" s="933"/>
    </row>
    <row r="119" spans="2:10" ht="16.5" customHeight="1">
      <c r="B119" s="658" t="s">
        <v>322</v>
      </c>
      <c r="C119" s="658"/>
      <c r="D119" s="658"/>
      <c r="E119" s="930">
        <v>20.04</v>
      </c>
      <c r="F119" s="930"/>
      <c r="G119" s="931" t="s">
        <v>342</v>
      </c>
      <c r="H119" s="932"/>
      <c r="I119" s="932"/>
      <c r="J119" s="933"/>
    </row>
    <row r="120" spans="2:10" ht="16.5" customHeight="1">
      <c r="B120" s="658" t="s">
        <v>323</v>
      </c>
      <c r="C120" s="658"/>
      <c r="D120" s="658"/>
      <c r="E120" s="930">
        <v>48</v>
      </c>
      <c r="F120" s="930"/>
      <c r="G120" s="931" t="s">
        <v>342</v>
      </c>
      <c r="H120" s="932"/>
      <c r="I120" s="932"/>
      <c r="J120" s="933"/>
    </row>
    <row r="121" spans="2:10" ht="16.5" customHeight="1">
      <c r="B121" s="658" t="s">
        <v>424</v>
      </c>
      <c r="C121" s="658"/>
      <c r="D121" s="658"/>
      <c r="E121" s="930">
        <v>2783</v>
      </c>
      <c r="F121" s="930"/>
      <c r="G121" s="931" t="s">
        <v>342</v>
      </c>
      <c r="H121" s="932"/>
      <c r="I121" s="932"/>
      <c r="J121" s="933"/>
    </row>
    <row r="122" spans="2:10" ht="16.5" customHeight="1">
      <c r="B122" s="658" t="s">
        <v>425</v>
      </c>
      <c r="C122" s="658"/>
      <c r="D122" s="658"/>
      <c r="E122" s="930">
        <v>1845.98</v>
      </c>
      <c r="F122" s="930"/>
      <c r="G122" s="931" t="s">
        <v>342</v>
      </c>
      <c r="H122" s="932"/>
      <c r="I122" s="932"/>
      <c r="J122" s="933"/>
    </row>
  </sheetData>
  <mergeCells count="215">
    <mergeCell ref="K15:L15"/>
    <mergeCell ref="K16:L16"/>
    <mergeCell ref="K17:L17"/>
    <mergeCell ref="B33:D33"/>
    <mergeCell ref="E33:F33"/>
    <mergeCell ref="B34:D34"/>
    <mergeCell ref="E34:F34"/>
    <mergeCell ref="E21:F21"/>
    <mergeCell ref="G21:H21"/>
    <mergeCell ref="B27:D27"/>
    <mergeCell ref="B22:D22"/>
    <mergeCell ref="B55:D55"/>
    <mergeCell ref="E55:F55"/>
    <mergeCell ref="G48:H48"/>
    <mergeCell ref="E47:F47"/>
    <mergeCell ref="E46:F46"/>
    <mergeCell ref="G56:M57"/>
    <mergeCell ref="G58:M59"/>
    <mergeCell ref="B59:D59"/>
    <mergeCell ref="E65:F65"/>
    <mergeCell ref="G65:H65"/>
    <mergeCell ref="E59:F59"/>
    <mergeCell ref="B60:F60"/>
    <mergeCell ref="B61:D61"/>
    <mergeCell ref="E61:F61"/>
    <mergeCell ref="B56:D56"/>
    <mergeCell ref="E56:F56"/>
    <mergeCell ref="B57:D57"/>
    <mergeCell ref="E57:F57"/>
    <mergeCell ref="E32:F32"/>
    <mergeCell ref="B38:D38"/>
    <mergeCell ref="B29:D29"/>
    <mergeCell ref="E27:F27"/>
    <mergeCell ref="E29:F29"/>
    <mergeCell ref="E45:F45"/>
    <mergeCell ref="B45:D45"/>
    <mergeCell ref="B48:D48"/>
    <mergeCell ref="E48:F48"/>
    <mergeCell ref="E67:F67"/>
    <mergeCell ref="B62:D62"/>
    <mergeCell ref="E62:F62"/>
    <mergeCell ref="B58:D58"/>
    <mergeCell ref="E58:F58"/>
    <mergeCell ref="B15:F15"/>
    <mergeCell ref="E12:F12"/>
    <mergeCell ref="E13:F13"/>
    <mergeCell ref="E4:F4"/>
    <mergeCell ref="B4:D4"/>
    <mergeCell ref="E10:F10"/>
    <mergeCell ref="B10:D10"/>
    <mergeCell ref="B20:H20"/>
    <mergeCell ref="B11:D11"/>
    <mergeCell ref="B13:D13"/>
    <mergeCell ref="B16:D16"/>
    <mergeCell ref="E11:F11"/>
    <mergeCell ref="H9:J9"/>
    <mergeCell ref="C5:F5"/>
    <mergeCell ref="H10:J10"/>
    <mergeCell ref="E14:F14"/>
    <mergeCell ref="H8:M8"/>
    <mergeCell ref="B23:D23"/>
    <mergeCell ref="B24:D24"/>
    <mergeCell ref="B66:D66"/>
    <mergeCell ref="G53:M53"/>
    <mergeCell ref="E49:F49"/>
    <mergeCell ref="B49:D49"/>
    <mergeCell ref="B12:D12"/>
    <mergeCell ref="E24:F24"/>
    <mergeCell ref="E25:F25"/>
    <mergeCell ref="K13:L13"/>
    <mergeCell ref="K12:L12"/>
    <mergeCell ref="E53:F53"/>
    <mergeCell ref="G54:M55"/>
    <mergeCell ref="E66:F66"/>
    <mergeCell ref="E16:F16"/>
    <mergeCell ref="B64:H64"/>
    <mergeCell ref="B65:D65"/>
    <mergeCell ref="B25:D25"/>
    <mergeCell ref="B26:D26"/>
    <mergeCell ref="E26:F26"/>
    <mergeCell ref="K14:L14"/>
    <mergeCell ref="E22:F22"/>
    <mergeCell ref="E23:F23"/>
    <mergeCell ref="B21:D21"/>
    <mergeCell ref="E35:F35"/>
    <mergeCell ref="E36:F36"/>
    <mergeCell ref="B67:D67"/>
    <mergeCell ref="B80:J80"/>
    <mergeCell ref="B104:D104"/>
    <mergeCell ref="B90:H90"/>
    <mergeCell ref="B28:D28"/>
    <mergeCell ref="E28:F28"/>
    <mergeCell ref="B35:D35"/>
    <mergeCell ref="G66:H66"/>
    <mergeCell ref="G49:H49"/>
    <mergeCell ref="B54:D54"/>
    <mergeCell ref="E54:F54"/>
    <mergeCell ref="B36:D36"/>
    <mergeCell ref="B52:H52"/>
    <mergeCell ref="B53:D53"/>
    <mergeCell ref="B70:J70"/>
    <mergeCell ref="B71:J71"/>
    <mergeCell ref="B37:D37"/>
    <mergeCell ref="E37:F37"/>
    <mergeCell ref="B72:J72"/>
    <mergeCell ref="D73:H73"/>
    <mergeCell ref="D74:H74"/>
    <mergeCell ref="B39:D39"/>
    <mergeCell ref="E39:F39"/>
    <mergeCell ref="G67:H67"/>
    <mergeCell ref="B105:D105"/>
    <mergeCell ref="G107:J107"/>
    <mergeCell ref="D82:H82"/>
    <mergeCell ref="B83:H83"/>
    <mergeCell ref="B84:H84"/>
    <mergeCell ref="I84:J84"/>
    <mergeCell ref="B98:J98"/>
    <mergeCell ref="B86:J86"/>
    <mergeCell ref="G103:J103"/>
    <mergeCell ref="B89:H89"/>
    <mergeCell ref="G104:J104"/>
    <mergeCell ref="B108:D108"/>
    <mergeCell ref="E108:F108"/>
    <mergeCell ref="G108:J108"/>
    <mergeCell ref="G105:J105"/>
    <mergeCell ref="D75:H75"/>
    <mergeCell ref="E104:F104"/>
    <mergeCell ref="E105:F105"/>
    <mergeCell ref="G106:J106"/>
    <mergeCell ref="B103:D103"/>
    <mergeCell ref="E103:F103"/>
    <mergeCell ref="I90:J90"/>
    <mergeCell ref="E106:F106"/>
    <mergeCell ref="B107:D107"/>
    <mergeCell ref="E107:F107"/>
    <mergeCell ref="B99:H100"/>
    <mergeCell ref="I99:J100"/>
    <mergeCell ref="B106:D106"/>
    <mergeCell ref="B102:J102"/>
    <mergeCell ref="B96:H96"/>
    <mergeCell ref="I96:J96"/>
    <mergeCell ref="D81:H81"/>
    <mergeCell ref="D87:H87"/>
    <mergeCell ref="D88:H88"/>
    <mergeCell ref="B78:C78"/>
    <mergeCell ref="G111:J111"/>
    <mergeCell ref="G112:J112"/>
    <mergeCell ref="G109:J109"/>
    <mergeCell ref="B114:D114"/>
    <mergeCell ref="B113:D113"/>
    <mergeCell ref="G113:J113"/>
    <mergeCell ref="B110:D110"/>
    <mergeCell ref="B111:D111"/>
    <mergeCell ref="B109:D109"/>
    <mergeCell ref="E109:F109"/>
    <mergeCell ref="G114:J114"/>
    <mergeCell ref="B92:J92"/>
    <mergeCell ref="D93:H93"/>
    <mergeCell ref="D94:H94"/>
    <mergeCell ref="B95:H95"/>
    <mergeCell ref="B119:D119"/>
    <mergeCell ref="B120:D120"/>
    <mergeCell ref="G118:J118"/>
    <mergeCell ref="E117:F117"/>
    <mergeCell ref="B118:D118"/>
    <mergeCell ref="G117:J117"/>
    <mergeCell ref="B115:D115"/>
    <mergeCell ref="B116:D116"/>
    <mergeCell ref="E110:F110"/>
    <mergeCell ref="E111:F111"/>
    <mergeCell ref="E112:F112"/>
    <mergeCell ref="E113:F113"/>
    <mergeCell ref="E114:F114"/>
    <mergeCell ref="E115:F115"/>
    <mergeCell ref="G115:J115"/>
    <mergeCell ref="G116:J116"/>
    <mergeCell ref="B117:D117"/>
    <mergeCell ref="E116:F116"/>
    <mergeCell ref="B112:D112"/>
    <mergeCell ref="G110:J110"/>
    <mergeCell ref="B122:D122"/>
    <mergeCell ref="E121:F121"/>
    <mergeCell ref="E122:F122"/>
    <mergeCell ref="G121:J121"/>
    <mergeCell ref="G119:J119"/>
    <mergeCell ref="G120:J120"/>
    <mergeCell ref="G122:J122"/>
    <mergeCell ref="B121:D121"/>
    <mergeCell ref="E118:F118"/>
    <mergeCell ref="E119:F119"/>
    <mergeCell ref="E120:F120"/>
    <mergeCell ref="B2:M2"/>
    <mergeCell ref="B42:M42"/>
    <mergeCell ref="B51:M51"/>
    <mergeCell ref="B7:M7"/>
    <mergeCell ref="B17:F18"/>
    <mergeCell ref="G45:H45"/>
    <mergeCell ref="B8:F8"/>
    <mergeCell ref="B9:D9"/>
    <mergeCell ref="E9:F9"/>
    <mergeCell ref="B14:D14"/>
    <mergeCell ref="K9:L9"/>
    <mergeCell ref="K10:L10"/>
    <mergeCell ref="K11:L11"/>
    <mergeCell ref="E31:F31"/>
    <mergeCell ref="E38:F38"/>
    <mergeCell ref="G46:H46"/>
    <mergeCell ref="G47:H47"/>
    <mergeCell ref="B32:D32"/>
    <mergeCell ref="I24:M24"/>
    <mergeCell ref="I26:L26"/>
    <mergeCell ref="B44:H44"/>
    <mergeCell ref="B30:D30"/>
    <mergeCell ref="E30:F30"/>
    <mergeCell ref="B31:D31"/>
  </mergeCells>
  <hyperlinks>
    <hyperlink ref="C5" r:id="rId1" xr:uid="{00000000-0004-0000-0900-000000000000}"/>
    <hyperlink ref="I26" r:id="rId2" xr:uid="{00000000-0004-0000-0900-000001000000}"/>
    <hyperlink ref="I46" r:id="rId3" xr:uid="{00000000-0004-0000-0900-000002000000}"/>
    <hyperlink ref="I52" r:id="rId4" xr:uid="{00000000-0004-0000-0900-000003000000}"/>
    <hyperlink ref="I64" r:id="rId5" xr:uid="{00000000-0004-0000-0900-000004000000}"/>
    <hyperlink ref="I65" r:id="rId6" xr:uid="{00000000-0004-0000-0900-000005000000}"/>
    <hyperlink ref="I67" r:id="rId7" xr:uid="{00000000-0004-0000-0900-000006000000}"/>
    <hyperlink ref="I24" r:id="rId8" xr:uid="{00000000-0004-0000-0900-000007000000}"/>
    <hyperlink ref="I30" r:id="rId9" xr:uid="{00000000-0004-0000-0900-000008000000}"/>
    <hyperlink ref="I33" r:id="rId10" xr:uid="{00000000-0004-0000-0900-000009000000}"/>
  </hyperlinks>
  <pageMargins left="0.511811024" right="0.511811024" top="0.78740157499999996" bottom="0.78740157499999996" header="0.31496062000000002" footer="0.31496062000000002"/>
  <pageSetup paperSize="9" scale="65" orientation="portrait" r:id="rId11"/>
  <rowBreaks count="2" manualBreakCount="2">
    <brk id="68" max="12" man="1"/>
    <brk id="124"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42"/>
  <sheetViews>
    <sheetView zoomScaleNormal="100" zoomScaleSheetLayoutView="100" workbookViewId="0">
      <selection activeCell="C2" sqref="C2"/>
    </sheetView>
  </sheetViews>
  <sheetFormatPr defaultRowHeight="14.4"/>
  <cols>
    <col min="1" max="1" width="9.77734375" customWidth="1"/>
    <col min="2" max="2" width="54.44140625" customWidth="1"/>
    <col min="3" max="3" width="26.33203125" customWidth="1"/>
  </cols>
  <sheetData>
    <row r="1" spans="1:4" ht="20.25" customHeight="1">
      <c r="A1" s="1048" t="s">
        <v>540</v>
      </c>
      <c r="B1" s="1048"/>
      <c r="C1" s="1048"/>
      <c r="D1" s="1048"/>
    </row>
    <row r="2" spans="1:4" ht="45" customHeight="1">
      <c r="A2" s="1051">
        <v>1</v>
      </c>
      <c r="B2" s="1049" t="str">
        <f>'PLANILHA ORÇAMENTARIA'!C5</f>
        <v xml:space="preserve"> Coleta manual e conteinerizada de resíduos sólidos domiciliares da área urbana da cidade, incluindo as áreas de difícil acesso; </v>
      </c>
      <c r="C2" s="1050"/>
      <c r="D2" s="374"/>
    </row>
    <row r="3" spans="1:4">
      <c r="A3" s="1052"/>
      <c r="B3" s="375" t="s">
        <v>81</v>
      </c>
      <c r="C3" s="371" t="s">
        <v>8</v>
      </c>
      <c r="D3" s="198"/>
    </row>
    <row r="4" spans="1:4">
      <c r="A4" s="1052"/>
      <c r="B4" s="240" t="s">
        <v>561</v>
      </c>
      <c r="C4" s="367">
        <v>15</v>
      </c>
      <c r="D4" s="198"/>
    </row>
    <row r="5" spans="1:4">
      <c r="A5" s="1052"/>
      <c r="B5" s="240" t="s">
        <v>559</v>
      </c>
      <c r="C5" s="367">
        <v>3</v>
      </c>
      <c r="D5" s="198"/>
    </row>
    <row r="6" spans="1:4">
      <c r="A6" s="1052"/>
      <c r="B6" s="240" t="s">
        <v>562</v>
      </c>
      <c r="C6" s="367">
        <v>5</v>
      </c>
      <c r="D6" s="198"/>
    </row>
    <row r="7" spans="1:4">
      <c r="A7" s="1052"/>
      <c r="B7" s="240" t="s">
        <v>560</v>
      </c>
      <c r="C7" s="367">
        <v>1</v>
      </c>
      <c r="D7" s="198"/>
    </row>
    <row r="8" spans="1:4">
      <c r="A8" s="1052"/>
      <c r="B8" s="240" t="s">
        <v>159</v>
      </c>
      <c r="C8" s="365">
        <v>1</v>
      </c>
      <c r="D8" s="198"/>
    </row>
    <row r="9" spans="1:4">
      <c r="A9" s="1052"/>
      <c r="B9" s="240" t="s">
        <v>464</v>
      </c>
      <c r="C9" s="365">
        <v>1</v>
      </c>
      <c r="D9" s="198"/>
    </row>
    <row r="10" spans="1:4">
      <c r="A10" s="1053"/>
      <c r="B10" s="369" t="s">
        <v>537</v>
      </c>
      <c r="C10" s="370">
        <f>SUM(C4:C9)</f>
        <v>26</v>
      </c>
      <c r="D10" s="198"/>
    </row>
    <row r="11" spans="1:4">
      <c r="A11" s="363"/>
      <c r="B11" s="198"/>
      <c r="C11" s="198"/>
      <c r="D11" s="198"/>
    </row>
    <row r="12" spans="1:4" ht="45" customHeight="1">
      <c r="A12" s="1054">
        <v>2</v>
      </c>
      <c r="B12" s="1047" t="str">
        <f>'PLANILHA ORÇAMENTARIA'!C6</f>
        <v>Varrição manual de vias e logradouros públicos incluindo o sacheamento e  esvaziamento de lixeiras públicas.</v>
      </c>
      <c r="C12" s="1047"/>
      <c r="D12" s="373"/>
    </row>
    <row r="13" spans="1:4">
      <c r="A13" s="1054"/>
      <c r="B13" s="371" t="s">
        <v>81</v>
      </c>
      <c r="C13" s="371" t="s">
        <v>8</v>
      </c>
      <c r="D13" s="198"/>
    </row>
    <row r="14" spans="1:4">
      <c r="A14" s="1054"/>
      <c r="B14" s="366" t="s">
        <v>294</v>
      </c>
      <c r="C14" s="367">
        <v>40</v>
      </c>
      <c r="D14" s="198"/>
    </row>
    <row r="15" spans="1:4">
      <c r="A15" s="1054"/>
      <c r="B15" s="366" t="s">
        <v>461</v>
      </c>
      <c r="C15" s="367">
        <v>20</v>
      </c>
      <c r="D15" s="198"/>
    </row>
    <row r="16" spans="1:4">
      <c r="A16" s="1054"/>
      <c r="B16" s="366" t="s">
        <v>295</v>
      </c>
      <c r="C16" s="367">
        <v>1</v>
      </c>
      <c r="D16" s="198"/>
    </row>
    <row r="17" spans="1:4">
      <c r="A17" s="1054"/>
      <c r="B17" s="366" t="s">
        <v>462</v>
      </c>
      <c r="C17" s="367">
        <v>1</v>
      </c>
      <c r="D17" s="198"/>
    </row>
    <row r="18" spans="1:4">
      <c r="A18" s="1054"/>
      <c r="B18" s="366" t="s">
        <v>53</v>
      </c>
      <c r="C18" s="367">
        <v>2</v>
      </c>
      <c r="D18" s="198"/>
    </row>
    <row r="19" spans="1:4">
      <c r="A19" s="1054"/>
      <c r="B19" s="366" t="s">
        <v>319</v>
      </c>
      <c r="C19" s="367">
        <v>1</v>
      </c>
      <c r="D19" s="198"/>
    </row>
    <row r="20" spans="1:4">
      <c r="A20" s="1054"/>
      <c r="B20" s="368" t="s">
        <v>538</v>
      </c>
      <c r="C20" s="370">
        <f>SUM(C14:C19)</f>
        <v>65</v>
      </c>
      <c r="D20" s="198"/>
    </row>
    <row r="21" spans="1:4">
      <c r="A21" s="363"/>
      <c r="B21" s="198"/>
      <c r="C21" s="198"/>
      <c r="D21" s="198"/>
    </row>
    <row r="22" spans="1:4" ht="45" customHeight="1">
      <c r="A22" s="1051">
        <v>3</v>
      </c>
      <c r="B22" s="1047" t="str">
        <f>'PLANILHA ORÇAMENTARIA'!C9</f>
        <v xml:space="preserve">Coleta manual e conteinerizada de resíduos sólidos domiciliares da área RURAL; </v>
      </c>
      <c r="C22" s="1047"/>
      <c r="D22" s="374"/>
    </row>
    <row r="23" spans="1:4">
      <c r="A23" s="1052"/>
      <c r="B23" s="371" t="s">
        <v>81</v>
      </c>
      <c r="C23" s="371" t="s">
        <v>8</v>
      </c>
      <c r="D23" s="198"/>
    </row>
    <row r="24" spans="1:4">
      <c r="A24" s="1052"/>
      <c r="B24" s="366" t="s">
        <v>67</v>
      </c>
      <c r="C24" s="367">
        <f>'Coleta Rural '!R31</f>
        <v>4</v>
      </c>
      <c r="D24" s="198"/>
    </row>
    <row r="25" spans="1:4">
      <c r="A25" s="1052"/>
      <c r="B25" s="366" t="s">
        <v>476</v>
      </c>
      <c r="C25" s="367">
        <f>'Coleta Rural '!R33</f>
        <v>1</v>
      </c>
      <c r="D25" s="198"/>
    </row>
    <row r="26" spans="1:4">
      <c r="A26" s="1052"/>
      <c r="B26" s="366" t="s">
        <v>11</v>
      </c>
      <c r="C26" s="367">
        <f>'Coleta Rural '!R32</f>
        <v>2</v>
      </c>
      <c r="D26" s="198"/>
    </row>
    <row r="27" spans="1:4">
      <c r="A27" s="1053"/>
      <c r="B27" s="368" t="s">
        <v>539</v>
      </c>
      <c r="C27" s="370">
        <f>SUM(C24:C26)</f>
        <v>7</v>
      </c>
      <c r="D27" s="198"/>
    </row>
    <row r="28" spans="1:4">
      <c r="A28" s="363"/>
      <c r="B28" s="198"/>
      <c r="C28" s="198"/>
      <c r="D28" s="198"/>
    </row>
    <row r="29" spans="1:4" ht="45" customHeight="1">
      <c r="A29" s="1054">
        <v>4</v>
      </c>
      <c r="B29" s="1047" t="str">
        <f>'PLANILHA ORÇAMENTARIA'!C8</f>
        <v>Administração Local</v>
      </c>
      <c r="C29" s="1047"/>
      <c r="D29" s="373"/>
    </row>
    <row r="30" spans="1:4">
      <c r="A30" s="1054"/>
      <c r="B30" s="371" t="s">
        <v>81</v>
      </c>
      <c r="C30" s="371" t="s">
        <v>8</v>
      </c>
      <c r="D30" s="198"/>
    </row>
    <row r="31" spans="1:4">
      <c r="A31" s="1054"/>
      <c r="B31" s="366" t="s">
        <v>17</v>
      </c>
      <c r="C31" s="367">
        <v>1</v>
      </c>
      <c r="D31" s="198"/>
    </row>
    <row r="32" spans="1:4">
      <c r="A32" s="1054"/>
      <c r="B32" s="366" t="s">
        <v>70</v>
      </c>
      <c r="C32" s="367">
        <v>1</v>
      </c>
      <c r="D32" s="198"/>
    </row>
    <row r="33" spans="1:4">
      <c r="A33" s="1054"/>
      <c r="B33" s="366" t="s">
        <v>71</v>
      </c>
      <c r="C33" s="367">
        <v>1</v>
      </c>
      <c r="D33" s="198"/>
    </row>
    <row r="34" spans="1:4">
      <c r="A34" s="1054"/>
      <c r="B34" s="366" t="s">
        <v>338</v>
      </c>
      <c r="C34" s="367">
        <v>2</v>
      </c>
      <c r="D34" s="198"/>
    </row>
    <row r="35" spans="1:4">
      <c r="A35" s="1054"/>
      <c r="B35" s="366" t="s">
        <v>339</v>
      </c>
      <c r="C35" s="367">
        <v>1</v>
      </c>
      <c r="D35" s="198"/>
    </row>
    <row r="36" spans="1:4">
      <c r="A36" s="1054"/>
      <c r="B36" s="366" t="s">
        <v>72</v>
      </c>
      <c r="C36" s="367">
        <v>1</v>
      </c>
      <c r="D36" s="198"/>
    </row>
    <row r="37" spans="1:4">
      <c r="A37" s="1054"/>
      <c r="B37" s="366" t="s">
        <v>340</v>
      </c>
      <c r="C37" s="367">
        <v>1</v>
      </c>
      <c r="D37" s="198"/>
    </row>
    <row r="38" spans="1:4">
      <c r="A38" s="1054"/>
      <c r="B38" s="366" t="s">
        <v>74</v>
      </c>
      <c r="C38" s="367">
        <v>1</v>
      </c>
      <c r="D38" s="198"/>
    </row>
    <row r="39" spans="1:4">
      <c r="A39" s="1054"/>
      <c r="B39" s="366" t="s">
        <v>73</v>
      </c>
      <c r="C39" s="367">
        <v>2</v>
      </c>
      <c r="D39" s="198"/>
    </row>
    <row r="40" spans="1:4">
      <c r="A40" s="1054"/>
      <c r="B40" s="368" t="s">
        <v>341</v>
      </c>
      <c r="C40" s="370">
        <f>SUM(C31:C39)</f>
        <v>11</v>
      </c>
      <c r="D40" s="198"/>
    </row>
    <row r="41" spans="1:4" ht="15" thickBot="1">
      <c r="B41" s="239"/>
    </row>
    <row r="42" spans="1:4" ht="16.2" thickBot="1">
      <c r="A42" s="1045" t="s">
        <v>341</v>
      </c>
      <c r="B42" s="1046"/>
      <c r="C42" s="372">
        <f>C40+C27+C20+C10</f>
        <v>109</v>
      </c>
    </row>
  </sheetData>
  <mergeCells count="10">
    <mergeCell ref="A42:B42"/>
    <mergeCell ref="B22:C22"/>
    <mergeCell ref="B12:C12"/>
    <mergeCell ref="A1:D1"/>
    <mergeCell ref="B2:C2"/>
    <mergeCell ref="B29:C29"/>
    <mergeCell ref="A2:A10"/>
    <mergeCell ref="A12:A20"/>
    <mergeCell ref="A22:A27"/>
    <mergeCell ref="A29:A40"/>
  </mergeCells>
  <pageMargins left="0.51181102362204722" right="0.51181102362204722" top="0.78740157480314965" bottom="0.78740157480314965" header="0.31496062992125984" footer="0.31496062992125984"/>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K45"/>
  <sheetViews>
    <sheetView topLeftCell="A4" zoomScale="98" zoomScaleNormal="100" zoomScaleSheetLayoutView="98" workbookViewId="0">
      <selection activeCell="J49" sqref="J49"/>
    </sheetView>
  </sheetViews>
  <sheetFormatPr defaultRowHeight="14.4"/>
  <cols>
    <col min="1" max="1" width="4" customWidth="1"/>
  </cols>
  <sheetData>
    <row r="1" spans="2:11" ht="20.399999999999999">
      <c r="B1" s="1056" t="s">
        <v>385</v>
      </c>
      <c r="C1" s="1056"/>
      <c r="D1" s="1056"/>
      <c r="E1" s="1056"/>
      <c r="F1" s="1056"/>
      <c r="G1" s="1056"/>
      <c r="H1" s="1056"/>
      <c r="I1" s="1056"/>
      <c r="J1" s="1056"/>
      <c r="K1" s="1056"/>
    </row>
    <row r="2" spans="2:11">
      <c r="B2" s="1055"/>
      <c r="C2" s="1055"/>
      <c r="D2" s="1055"/>
      <c r="E2" s="1055"/>
      <c r="F2" s="1055"/>
      <c r="G2" s="1055"/>
      <c r="H2" s="1055"/>
      <c r="I2" s="1055"/>
      <c r="J2" s="1055"/>
      <c r="K2" s="1055"/>
    </row>
    <row r="3" spans="2:11">
      <c r="B3" s="1055" t="s">
        <v>386</v>
      </c>
      <c r="C3" s="1055"/>
      <c r="D3" s="1055"/>
      <c r="E3" s="1055"/>
      <c r="F3" s="1055"/>
      <c r="G3" s="1055"/>
      <c r="H3" s="1055"/>
      <c r="I3" s="1055"/>
      <c r="J3" s="1055"/>
      <c r="K3" s="1055"/>
    </row>
    <row r="15" spans="2:11" ht="6.75" customHeight="1"/>
    <row r="16" spans="2:11" ht="14.25" customHeight="1">
      <c r="B16" s="1055" t="s">
        <v>387</v>
      </c>
      <c r="C16" s="1055"/>
      <c r="D16" s="1055"/>
      <c r="E16" s="1055"/>
      <c r="F16" s="1055"/>
      <c r="G16" s="1055"/>
      <c r="H16" s="1055"/>
      <c r="I16" s="1055"/>
      <c r="J16" s="1055"/>
      <c r="K16" s="1055"/>
    </row>
    <row r="25" spans="2:11" ht="21" customHeight="1">
      <c r="B25" s="1055" t="s">
        <v>394</v>
      </c>
      <c r="C25" s="1055"/>
      <c r="D25" s="1055"/>
      <c r="E25" s="1055"/>
      <c r="F25" s="1055"/>
      <c r="G25" s="1055"/>
      <c r="H25" s="1055"/>
      <c r="I25" s="1055"/>
      <c r="J25" s="1055"/>
      <c r="K25" s="1055"/>
    </row>
    <row r="34" spans="2:11">
      <c r="B34" s="1055" t="s">
        <v>316</v>
      </c>
      <c r="C34" s="1055"/>
      <c r="D34" s="1055"/>
      <c r="E34" s="1055"/>
      <c r="F34" s="1055"/>
      <c r="G34" s="1055"/>
      <c r="H34" s="1055"/>
      <c r="I34" s="1055"/>
      <c r="J34" s="1055"/>
      <c r="K34" s="1055"/>
    </row>
    <row r="45" spans="2:11">
      <c r="B45" s="1055" t="s">
        <v>317</v>
      </c>
      <c r="C45" s="1055"/>
      <c r="D45" s="1055"/>
      <c r="E45" s="1055"/>
      <c r="F45" s="1055"/>
      <c r="G45" s="1055"/>
      <c r="H45" s="1055"/>
      <c r="I45" s="1055"/>
      <c r="J45" s="1055"/>
      <c r="K45" s="1055"/>
    </row>
  </sheetData>
  <mergeCells count="7">
    <mergeCell ref="B45:K45"/>
    <mergeCell ref="B1:K1"/>
    <mergeCell ref="B3:K3"/>
    <mergeCell ref="B16:K16"/>
    <mergeCell ref="B25:K25"/>
    <mergeCell ref="B34:K34"/>
    <mergeCell ref="B2:K2"/>
  </mergeCells>
  <pageMargins left="0.51181102362204722" right="0.51181102362204722" top="0.59055118110236227" bottom="0.59055118110236227" header="0.31496062992125984" footer="0.31496062992125984"/>
  <pageSetup paperSize="9" scale="98"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43"/>
  <sheetViews>
    <sheetView zoomScale="106" zoomScaleNormal="100" zoomScaleSheetLayoutView="106" workbookViewId="0">
      <selection activeCell="G39" sqref="G39:K40"/>
    </sheetView>
  </sheetViews>
  <sheetFormatPr defaultRowHeight="14.4"/>
  <cols>
    <col min="1" max="1" width="3.77734375" customWidth="1"/>
  </cols>
  <sheetData>
    <row r="1" spans="1:11" ht="20.399999999999999">
      <c r="B1" s="640" t="s">
        <v>395</v>
      </c>
      <c r="C1" s="641"/>
      <c r="D1" s="641"/>
      <c r="E1" s="641"/>
      <c r="F1" s="641"/>
      <c r="G1" s="641"/>
      <c r="H1" s="641"/>
      <c r="I1" s="641"/>
      <c r="J1" s="641"/>
      <c r="K1" s="641"/>
    </row>
    <row r="2" spans="1:11">
      <c r="A2" s="198"/>
      <c r="B2" s="198"/>
      <c r="C2" s="198"/>
      <c r="D2" s="198"/>
      <c r="E2" s="198"/>
      <c r="F2" s="198"/>
      <c r="G2" s="198"/>
      <c r="H2" s="198"/>
      <c r="I2" s="198"/>
      <c r="J2" s="198"/>
      <c r="K2" s="198"/>
    </row>
    <row r="3" spans="1:11">
      <c r="A3" s="198"/>
      <c r="B3" s="1057" t="s">
        <v>514</v>
      </c>
      <c r="C3" s="1057"/>
      <c r="D3" s="1057"/>
      <c r="E3" s="1057"/>
      <c r="F3" s="1057"/>
      <c r="G3" s="1057"/>
      <c r="H3" s="1057"/>
      <c r="I3" s="1057"/>
      <c r="J3" s="1057"/>
      <c r="K3" s="1057"/>
    </row>
    <row r="4" spans="1:11">
      <c r="A4" s="198"/>
      <c r="B4" s="198"/>
      <c r="C4" s="198"/>
      <c r="D4" s="198"/>
      <c r="E4" s="198"/>
      <c r="F4" s="198"/>
      <c r="G4" s="198"/>
      <c r="H4" s="198"/>
      <c r="I4" s="198"/>
      <c r="J4" s="198"/>
      <c r="K4" s="198"/>
    </row>
    <row r="5" spans="1:11" ht="15" customHeight="1">
      <c r="A5" s="198"/>
      <c r="B5" s="1058" t="str">
        <f>'BANCO DE DADOS'!B104:D104</f>
        <v>Vassoura de Piaçava Tipo Prefeitura com Cabo Plastificado 60cm</v>
      </c>
      <c r="C5" s="1058"/>
      <c r="D5" s="1058"/>
      <c r="E5" s="1058"/>
      <c r="F5" s="198"/>
      <c r="G5" s="1058" t="str">
        <f>'BANCO DE DADOS'!B106</f>
        <v>Cone de Sinalização 75cm Branco e Laranja Elastim</v>
      </c>
      <c r="H5" s="1058"/>
      <c r="I5" s="1058"/>
      <c r="J5" s="1058"/>
      <c r="K5" s="1058"/>
    </row>
    <row r="6" spans="1:11">
      <c r="A6" s="198"/>
      <c r="B6" s="1058"/>
      <c r="C6" s="1058"/>
      <c r="D6" s="1058"/>
      <c r="E6" s="1058"/>
      <c r="F6" s="198"/>
      <c r="G6" s="1058"/>
      <c r="H6" s="1058"/>
      <c r="I6" s="1058"/>
      <c r="J6" s="1058"/>
      <c r="K6" s="1058"/>
    </row>
    <row r="7" spans="1:11">
      <c r="A7" s="198"/>
      <c r="B7" s="198"/>
      <c r="C7" s="198"/>
      <c r="D7" s="198"/>
      <c r="E7" s="198"/>
      <c r="F7" s="198"/>
      <c r="G7" s="198"/>
      <c r="H7" s="198"/>
      <c r="I7" s="198"/>
      <c r="J7" s="198"/>
      <c r="K7" s="198"/>
    </row>
    <row r="8" spans="1:11">
      <c r="A8" s="198"/>
      <c r="B8" s="198"/>
      <c r="C8" s="198"/>
      <c r="D8" s="198"/>
      <c r="E8" s="198"/>
      <c r="F8" s="198"/>
      <c r="G8" s="198"/>
      <c r="H8" s="198"/>
      <c r="I8" s="198"/>
      <c r="J8" s="198"/>
      <c r="K8" s="198"/>
    </row>
    <row r="9" spans="1:11">
      <c r="A9" s="198"/>
      <c r="B9" s="198"/>
      <c r="C9" s="198"/>
      <c r="D9" s="198"/>
      <c r="E9" s="198"/>
      <c r="F9" s="198"/>
      <c r="G9" s="198"/>
      <c r="H9" s="198"/>
      <c r="I9" s="198"/>
      <c r="J9" s="198"/>
      <c r="K9" s="198"/>
    </row>
    <row r="10" spans="1:11">
      <c r="A10" s="198"/>
      <c r="B10" s="198"/>
      <c r="C10" s="198"/>
      <c r="D10" s="198"/>
      <c r="E10" s="198"/>
      <c r="F10" s="198"/>
      <c r="G10" s="198"/>
      <c r="H10" s="198"/>
      <c r="I10" s="198"/>
      <c r="J10" s="198"/>
      <c r="K10" s="198"/>
    </row>
    <row r="11" spans="1:11">
      <c r="A11" s="198"/>
      <c r="B11" s="198"/>
      <c r="C11" s="198"/>
      <c r="D11" s="198"/>
      <c r="E11" s="198"/>
      <c r="F11" s="198"/>
      <c r="G11" s="198"/>
      <c r="H11" s="198"/>
      <c r="I11" s="198"/>
      <c r="J11" s="198"/>
      <c r="K11" s="198"/>
    </row>
    <row r="12" spans="1:11">
      <c r="A12" s="198"/>
      <c r="B12" s="198"/>
      <c r="C12" s="198"/>
      <c r="D12" s="198"/>
      <c r="E12" s="198"/>
      <c r="F12" s="198"/>
      <c r="G12" s="198"/>
      <c r="H12" s="198"/>
      <c r="I12" s="198"/>
      <c r="J12" s="198"/>
      <c r="K12" s="198"/>
    </row>
    <row r="13" spans="1:11">
      <c r="A13" s="198"/>
      <c r="B13" s="198"/>
      <c r="C13" s="198"/>
      <c r="D13" s="198"/>
      <c r="E13" s="198"/>
      <c r="F13" s="198"/>
      <c r="G13" s="198"/>
      <c r="H13" s="198"/>
      <c r="I13" s="198"/>
      <c r="J13" s="198"/>
      <c r="K13" s="198"/>
    </row>
    <row r="14" spans="1:11">
      <c r="A14" s="198"/>
      <c r="B14" s="198"/>
      <c r="C14" s="198"/>
      <c r="D14" s="198"/>
      <c r="E14" s="198"/>
      <c r="F14" s="198"/>
      <c r="G14" s="198"/>
      <c r="H14" s="198"/>
      <c r="I14" s="198"/>
      <c r="J14" s="198"/>
      <c r="K14" s="198"/>
    </row>
    <row r="15" spans="1:11">
      <c r="A15" s="198"/>
      <c r="B15" s="198"/>
      <c r="C15" s="198"/>
      <c r="D15" s="198"/>
      <c r="E15" s="198"/>
      <c r="F15" s="198"/>
      <c r="G15" s="198"/>
      <c r="H15" s="198"/>
      <c r="I15" s="198"/>
      <c r="J15" s="198"/>
      <c r="K15" s="198"/>
    </row>
    <row r="16" spans="1:11">
      <c r="A16" s="198"/>
      <c r="B16" s="198"/>
      <c r="C16" s="198"/>
      <c r="D16" s="198"/>
      <c r="E16" s="198"/>
      <c r="F16" s="198"/>
      <c r="G16" s="198"/>
      <c r="H16" s="198"/>
      <c r="I16" s="198"/>
      <c r="J16" s="198"/>
      <c r="K16" s="198"/>
    </row>
    <row r="17" spans="1:11">
      <c r="A17" s="198"/>
      <c r="B17" s="198"/>
      <c r="C17" s="198"/>
      <c r="D17" s="198"/>
      <c r="E17" s="198"/>
      <c r="F17" s="198"/>
      <c r="G17" s="198"/>
      <c r="H17" s="198"/>
      <c r="I17" s="198"/>
      <c r="J17" s="198"/>
      <c r="K17" s="198"/>
    </row>
    <row r="18" spans="1:11">
      <c r="A18" s="198"/>
      <c r="B18" s="198"/>
      <c r="C18" s="198"/>
      <c r="D18" s="198"/>
      <c r="E18" s="198"/>
      <c r="F18" s="198"/>
      <c r="G18" s="198"/>
      <c r="H18" s="198"/>
      <c r="I18" s="198"/>
      <c r="J18" s="198"/>
      <c r="K18" s="198"/>
    </row>
    <row r="19" spans="1:11">
      <c r="A19" s="198"/>
      <c r="B19" s="198"/>
      <c r="C19" s="198"/>
      <c r="D19" s="198"/>
      <c r="E19" s="198"/>
      <c r="F19" s="198"/>
      <c r="G19" s="198"/>
      <c r="H19" s="198"/>
      <c r="I19" s="198"/>
      <c r="J19" s="198"/>
      <c r="K19" s="198"/>
    </row>
    <row r="20" spans="1:11">
      <c r="A20" s="198"/>
      <c r="B20" s="251" t="s">
        <v>410</v>
      </c>
      <c r="C20" s="198"/>
      <c r="D20" s="198"/>
      <c r="E20" s="251" t="s">
        <v>301</v>
      </c>
      <c r="F20" s="198"/>
      <c r="G20" s="198"/>
      <c r="H20" s="251" t="s">
        <v>408</v>
      </c>
      <c r="I20" s="198"/>
      <c r="J20" s="198"/>
      <c r="K20" s="198"/>
    </row>
    <row r="21" spans="1:11">
      <c r="A21" s="198"/>
      <c r="C21" s="198"/>
      <c r="D21" s="198"/>
      <c r="F21" s="198"/>
      <c r="G21" s="198"/>
      <c r="H21" s="198"/>
      <c r="I21" s="198"/>
      <c r="J21" s="198"/>
      <c r="K21" s="198"/>
    </row>
    <row r="22" spans="1:11">
      <c r="A22" s="198"/>
      <c r="B22" s="198"/>
      <c r="C22" s="198"/>
      <c r="D22" s="198"/>
      <c r="E22" s="198"/>
      <c r="F22" s="198"/>
      <c r="G22" s="198"/>
      <c r="H22" s="198"/>
      <c r="I22" s="198"/>
      <c r="J22" s="198"/>
      <c r="K22" s="198"/>
    </row>
    <row r="23" spans="1:11">
      <c r="A23" s="198"/>
      <c r="B23" s="198"/>
      <c r="C23" s="198"/>
      <c r="D23" s="198"/>
      <c r="E23" s="198"/>
      <c r="F23" s="198"/>
      <c r="G23" s="198"/>
      <c r="H23" s="198"/>
      <c r="I23" s="198"/>
      <c r="J23" s="198"/>
      <c r="K23" s="198"/>
    </row>
    <row r="24" spans="1:11">
      <c r="A24" s="198"/>
      <c r="B24" s="198"/>
      <c r="C24" s="198"/>
      <c r="D24" s="198"/>
      <c r="E24" s="198"/>
      <c r="F24" s="198"/>
      <c r="G24" s="198"/>
      <c r="H24" s="198"/>
      <c r="I24" s="198"/>
      <c r="J24" s="198"/>
      <c r="K24" s="198"/>
    </row>
    <row r="25" spans="1:11">
      <c r="A25" s="198"/>
      <c r="B25" s="198"/>
      <c r="C25" s="198"/>
      <c r="D25" s="198"/>
      <c r="E25" s="198"/>
      <c r="F25" s="198"/>
      <c r="G25" s="198"/>
      <c r="H25" s="198"/>
      <c r="I25" s="198"/>
      <c r="J25" s="198"/>
      <c r="K25" s="198"/>
    </row>
    <row r="26" spans="1:11">
      <c r="A26" s="198"/>
      <c r="B26" s="198"/>
      <c r="C26" s="198"/>
      <c r="D26" s="198"/>
      <c r="E26" s="198"/>
      <c r="F26" s="198"/>
      <c r="G26" s="198"/>
      <c r="H26" s="198"/>
      <c r="I26" s="198"/>
      <c r="J26" s="198"/>
      <c r="K26" s="198"/>
    </row>
    <row r="27" spans="1:11">
      <c r="A27" s="198"/>
      <c r="B27" s="198"/>
      <c r="C27" s="198"/>
      <c r="D27" s="198"/>
      <c r="E27" s="198"/>
      <c r="F27" s="198"/>
      <c r="G27" s="198"/>
      <c r="H27" s="198"/>
      <c r="I27" s="198"/>
      <c r="J27" s="198"/>
      <c r="K27" s="198"/>
    </row>
    <row r="28" spans="1:11">
      <c r="A28" s="198"/>
      <c r="B28" s="198"/>
      <c r="C28" s="198"/>
      <c r="D28" s="198"/>
      <c r="E28" s="198"/>
      <c r="F28" s="198"/>
      <c r="G28" s="198"/>
      <c r="H28" s="198"/>
      <c r="I28" s="198"/>
      <c r="J28" s="198"/>
      <c r="K28" s="198"/>
    </row>
    <row r="29" spans="1:11">
      <c r="A29" s="198"/>
      <c r="B29" s="251" t="s">
        <v>409</v>
      </c>
      <c r="C29" s="198"/>
      <c r="D29" s="198"/>
      <c r="E29" s="251" t="s">
        <v>411</v>
      </c>
      <c r="F29" s="198"/>
      <c r="G29" s="198"/>
      <c r="H29" s="251" t="s">
        <v>412</v>
      </c>
      <c r="I29" s="198"/>
      <c r="J29" s="198"/>
      <c r="K29" s="198"/>
    </row>
    <row r="30" spans="1:11">
      <c r="A30" s="198"/>
      <c r="B30" s="198"/>
      <c r="C30" s="198"/>
      <c r="D30" s="198"/>
      <c r="E30" s="198"/>
      <c r="F30" s="198"/>
      <c r="G30" s="198"/>
      <c r="H30" s="198"/>
      <c r="I30" s="198"/>
      <c r="J30" s="198"/>
      <c r="K30" s="198"/>
    </row>
    <row r="31" spans="1:11">
      <c r="A31" s="198"/>
      <c r="B31" s="198"/>
      <c r="C31" s="198"/>
      <c r="D31" s="198"/>
      <c r="E31" s="198"/>
      <c r="F31" s="198"/>
      <c r="G31" s="198"/>
      <c r="H31" s="198"/>
      <c r="I31" s="198"/>
      <c r="J31" s="198"/>
      <c r="K31" s="198"/>
    </row>
    <row r="32" spans="1:11">
      <c r="A32" s="198"/>
      <c r="B32" s="198"/>
      <c r="C32" s="198"/>
      <c r="D32" s="198"/>
      <c r="E32" s="198"/>
      <c r="F32" s="198"/>
      <c r="G32" s="198"/>
      <c r="H32" s="198"/>
      <c r="I32" s="198"/>
      <c r="J32" s="198"/>
      <c r="K32" s="198"/>
    </row>
    <row r="33" spans="1:11">
      <c r="A33" s="198"/>
      <c r="B33" s="198"/>
      <c r="C33" s="198"/>
      <c r="D33" s="198"/>
      <c r="E33" s="198"/>
      <c r="F33" s="198"/>
      <c r="G33" s="198"/>
      <c r="H33" s="198"/>
      <c r="I33" s="198"/>
      <c r="J33" s="198"/>
      <c r="K33" s="198"/>
    </row>
    <row r="34" spans="1:11">
      <c r="A34" s="198"/>
      <c r="B34" s="198"/>
      <c r="C34" s="198"/>
      <c r="D34" s="198"/>
      <c r="E34" s="198"/>
      <c r="F34" s="198"/>
      <c r="G34" s="198"/>
      <c r="H34" s="198"/>
      <c r="I34" s="198"/>
      <c r="J34" s="198"/>
      <c r="K34" s="198"/>
    </row>
    <row r="35" spans="1:11">
      <c r="A35" s="198"/>
      <c r="B35" s="198"/>
      <c r="C35" s="198"/>
      <c r="D35" s="198"/>
      <c r="E35" s="198"/>
      <c r="F35" s="198"/>
      <c r="G35" s="198"/>
      <c r="H35" s="198"/>
      <c r="I35" s="198"/>
      <c r="J35" s="198"/>
      <c r="K35" s="198"/>
    </row>
    <row r="36" spans="1:11">
      <c r="A36" s="198"/>
      <c r="B36" s="198"/>
      <c r="C36" s="198"/>
      <c r="D36" s="198"/>
      <c r="E36" s="198"/>
      <c r="F36" s="198"/>
      <c r="G36" s="198"/>
      <c r="H36" s="198"/>
      <c r="I36" s="198"/>
      <c r="J36" s="198"/>
      <c r="K36" s="198"/>
    </row>
    <row r="37" spans="1:11">
      <c r="A37" s="198"/>
      <c r="B37" s="198"/>
      <c r="C37" s="198"/>
      <c r="D37" s="198"/>
      <c r="E37" s="198"/>
      <c r="F37" s="198"/>
      <c r="G37" s="198"/>
      <c r="H37" s="198"/>
      <c r="I37" s="198"/>
      <c r="J37" s="198"/>
      <c r="K37" s="198"/>
    </row>
    <row r="38" spans="1:11">
      <c r="A38" s="198"/>
      <c r="B38" s="251" t="s">
        <v>413</v>
      </c>
      <c r="C38" s="198"/>
      <c r="D38" s="1058" t="str">
        <f>'BANCO DE DADOS'!B116</f>
        <v>Foice roçadeira com cabo de madeira 110 cm TRAMONTINA</v>
      </c>
      <c r="E38" s="1058"/>
      <c r="F38" s="1058"/>
      <c r="G38" s="198"/>
      <c r="H38" s="198"/>
      <c r="I38" s="198"/>
      <c r="J38" s="198"/>
      <c r="K38" s="198"/>
    </row>
    <row r="39" spans="1:11">
      <c r="A39" s="198"/>
      <c r="B39" s="198"/>
      <c r="C39" s="198"/>
      <c r="D39" s="1058"/>
      <c r="E39" s="1058"/>
      <c r="F39" s="1058"/>
      <c r="G39" s="1058" t="str">
        <f>'BANCO DE DADOS'!B105</f>
        <v>Pa Quadrada Tramontina em Aco com Cabo de Madeira 71CM</v>
      </c>
      <c r="H39" s="1058"/>
      <c r="I39" s="1058"/>
      <c r="J39" s="1058"/>
      <c r="K39" s="1058"/>
    </row>
    <row r="40" spans="1:11">
      <c r="A40" s="198"/>
      <c r="B40" s="198"/>
      <c r="C40" s="198"/>
      <c r="D40" s="198"/>
      <c r="E40" s="198"/>
      <c r="F40" s="198"/>
      <c r="G40" s="1058"/>
      <c r="H40" s="1058"/>
      <c r="I40" s="1058"/>
      <c r="J40" s="1058"/>
      <c r="K40" s="1058"/>
    </row>
    <row r="41" spans="1:11">
      <c r="A41" s="198"/>
      <c r="B41" s="198"/>
      <c r="C41" s="198"/>
      <c r="D41" s="198"/>
      <c r="E41" s="198"/>
      <c r="F41" s="198"/>
      <c r="G41" s="198"/>
      <c r="H41" s="198"/>
      <c r="I41" s="198"/>
      <c r="J41" s="198"/>
      <c r="K41" s="198"/>
    </row>
    <row r="42" spans="1:11">
      <c r="A42" s="198"/>
      <c r="B42" s="198"/>
      <c r="C42" s="198"/>
      <c r="D42" s="198"/>
      <c r="E42" s="198"/>
      <c r="F42" s="198"/>
      <c r="G42" s="198"/>
      <c r="H42" s="198"/>
      <c r="I42" s="198"/>
      <c r="J42" s="198"/>
      <c r="K42" s="198"/>
    </row>
    <row r="43" spans="1:11">
      <c r="A43" s="198"/>
      <c r="B43" s="198"/>
      <c r="C43" s="198"/>
      <c r="D43" s="198"/>
      <c r="E43" s="198"/>
      <c r="F43" s="198"/>
      <c r="G43" s="198"/>
      <c r="H43" s="198"/>
      <c r="I43" s="198"/>
      <c r="J43" s="198"/>
      <c r="K43" s="198"/>
    </row>
  </sheetData>
  <mergeCells count="6">
    <mergeCell ref="B1:K1"/>
    <mergeCell ref="B3:K3"/>
    <mergeCell ref="B5:E6"/>
    <mergeCell ref="G39:K40"/>
    <mergeCell ref="G5:K6"/>
    <mergeCell ref="D38:F39"/>
  </mergeCells>
  <pageMargins left="0.511811024" right="0.511811024" top="0.78740157499999996" bottom="0.78740157499999996" header="0.31496062000000002" footer="0.31496062000000002"/>
  <pageSetup paperSize="9" scale="94"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23"/>
  <sheetViews>
    <sheetView topLeftCell="A7" zoomScaleNormal="100" zoomScaleSheetLayoutView="100" workbookViewId="0">
      <selection activeCell="M16" sqref="M16"/>
    </sheetView>
  </sheetViews>
  <sheetFormatPr defaultRowHeight="14.4"/>
  <cols>
    <col min="3" max="3" width="11.44140625" customWidth="1"/>
    <col min="5" max="5" width="13.44140625" customWidth="1"/>
    <col min="8" max="8" width="10.6640625" customWidth="1"/>
    <col min="9" max="9" width="10.33203125" customWidth="1"/>
    <col min="10" max="17" width="9.109375" style="194"/>
  </cols>
  <sheetData>
    <row r="1" spans="1:17" ht="38.25" customHeight="1" thickBot="1">
      <c r="A1" s="1059" t="s">
        <v>337</v>
      </c>
      <c r="B1" s="1060"/>
      <c r="C1" s="1060"/>
      <c r="D1" s="1060"/>
      <c r="E1" s="1060"/>
      <c r="F1" s="1060"/>
      <c r="G1" s="1060"/>
      <c r="H1" s="1060"/>
      <c r="I1" s="1061"/>
      <c r="J1" s="164"/>
      <c r="K1" s="164"/>
      <c r="L1" s="164"/>
      <c r="M1" s="164"/>
      <c r="N1" s="164"/>
      <c r="O1" s="164"/>
      <c r="P1" s="164"/>
      <c r="Q1" s="164"/>
    </row>
    <row r="3" spans="1:17" ht="20.25" customHeight="1">
      <c r="A3" s="1056" t="s">
        <v>324</v>
      </c>
      <c r="B3" s="1056"/>
      <c r="C3" s="1056"/>
      <c r="D3" s="1056"/>
      <c r="E3" s="1056"/>
      <c r="F3" s="1056"/>
      <c r="G3" s="1056"/>
      <c r="H3" s="1056"/>
      <c r="I3" s="1056"/>
    </row>
    <row r="4" spans="1:17" ht="15" thickBot="1"/>
    <row r="5" spans="1:17">
      <c r="A5" s="1062"/>
      <c r="B5" s="1063"/>
      <c r="C5" s="1063"/>
      <c r="D5" s="1063"/>
      <c r="E5" s="1064"/>
    </row>
    <row r="6" spans="1:17">
      <c r="A6" s="1065"/>
      <c r="B6" s="1066"/>
      <c r="C6" s="1066"/>
      <c r="D6" s="1066"/>
      <c r="E6" s="1067"/>
      <c r="G6" s="195" t="s">
        <v>245</v>
      </c>
    </row>
    <row r="7" spans="1:17">
      <c r="A7" s="1065"/>
      <c r="B7" s="1066"/>
      <c r="C7" s="1066"/>
      <c r="D7" s="1066"/>
      <c r="E7" s="1067"/>
      <c r="G7" s="1071" t="s">
        <v>325</v>
      </c>
      <c r="H7" s="1071"/>
      <c r="I7" s="1071"/>
    </row>
    <row r="8" spans="1:17">
      <c r="A8" s="1065"/>
      <c r="B8" s="1066"/>
      <c r="C8" s="1066"/>
      <c r="D8" s="1066"/>
      <c r="E8" s="1067"/>
      <c r="G8" s="1071"/>
      <c r="H8" s="1071"/>
      <c r="I8" s="1071"/>
    </row>
    <row r="9" spans="1:17">
      <c r="A9" s="1065"/>
      <c r="B9" s="1066"/>
      <c r="C9" s="1066"/>
      <c r="D9" s="1066"/>
      <c r="E9" s="1067"/>
    </row>
    <row r="10" spans="1:17">
      <c r="A10" s="1065"/>
      <c r="B10" s="1066"/>
      <c r="C10" s="1066"/>
      <c r="D10" s="1066"/>
      <c r="E10" s="1067"/>
      <c r="G10" s="195" t="s">
        <v>326</v>
      </c>
    </row>
    <row r="11" spans="1:17">
      <c r="A11" s="1065"/>
      <c r="B11" s="1066"/>
      <c r="C11" s="1066"/>
      <c r="D11" s="1066"/>
      <c r="E11" s="1067"/>
      <c r="G11" s="1072" t="s">
        <v>327</v>
      </c>
      <c r="H11" s="1072"/>
      <c r="I11" s="1072"/>
    </row>
    <row r="12" spans="1:17">
      <c r="A12" s="1065"/>
      <c r="B12" s="1066"/>
      <c r="C12" s="1066"/>
      <c r="D12" s="1066"/>
      <c r="E12" s="1067"/>
      <c r="G12" s="1072"/>
      <c r="H12" s="1072"/>
      <c r="I12" s="1072"/>
    </row>
    <row r="13" spans="1:17">
      <c r="A13" s="1065"/>
      <c r="B13" s="1066"/>
      <c r="C13" s="1066"/>
      <c r="D13" s="1066"/>
      <c r="E13" s="1067"/>
    </row>
    <row r="14" spans="1:17">
      <c r="A14" s="1065"/>
      <c r="B14" s="1066"/>
      <c r="C14" s="1066"/>
      <c r="D14" s="1066"/>
      <c r="E14" s="1067"/>
    </row>
    <row r="15" spans="1:17">
      <c r="A15" s="1065"/>
      <c r="B15" s="1066"/>
      <c r="C15" s="1066"/>
      <c r="D15" s="1066"/>
      <c r="E15" s="1067"/>
    </row>
    <row r="16" spans="1:17">
      <c r="A16" s="1065"/>
      <c r="B16" s="1066"/>
      <c r="C16" s="1066"/>
      <c r="D16" s="1066"/>
      <c r="E16" s="1067"/>
    </row>
    <row r="17" spans="1:5">
      <c r="A17" s="1065"/>
      <c r="B17" s="1066"/>
      <c r="C17" s="1066"/>
      <c r="D17" s="1066"/>
      <c r="E17" s="1067"/>
    </row>
    <row r="18" spans="1:5">
      <c r="A18" s="1065"/>
      <c r="B18" s="1066"/>
      <c r="C18" s="1066"/>
      <c r="D18" s="1066"/>
      <c r="E18" s="1067"/>
    </row>
    <row r="19" spans="1:5">
      <c r="A19" s="1065"/>
      <c r="B19" s="1066"/>
      <c r="C19" s="1066"/>
      <c r="D19" s="1066"/>
      <c r="E19" s="1067"/>
    </row>
    <row r="20" spans="1:5">
      <c r="A20" s="1065"/>
      <c r="B20" s="1066"/>
      <c r="C20" s="1066"/>
      <c r="D20" s="1066"/>
      <c r="E20" s="1067"/>
    </row>
    <row r="21" spans="1:5">
      <c r="A21" s="1065"/>
      <c r="B21" s="1066"/>
      <c r="C21" s="1066"/>
      <c r="D21" s="1066"/>
      <c r="E21" s="1067"/>
    </row>
    <row r="22" spans="1:5">
      <c r="A22" s="1065"/>
      <c r="B22" s="1066"/>
      <c r="C22" s="1066"/>
      <c r="D22" s="1066"/>
      <c r="E22" s="1067"/>
    </row>
    <row r="23" spans="1:5" ht="15" thickBot="1">
      <c r="A23" s="1068"/>
      <c r="B23" s="1069"/>
      <c r="C23" s="1069"/>
      <c r="D23" s="1069"/>
      <c r="E23" s="1070"/>
    </row>
  </sheetData>
  <mergeCells count="5">
    <mergeCell ref="A1:I1"/>
    <mergeCell ref="A3:I3"/>
    <mergeCell ref="A5:E23"/>
    <mergeCell ref="G7:I8"/>
    <mergeCell ref="G11:I12"/>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12"/>
  <sheetViews>
    <sheetView zoomScaleNormal="100" zoomScaleSheetLayoutView="100" workbookViewId="0">
      <selection activeCell="B11" sqref="B11"/>
    </sheetView>
  </sheetViews>
  <sheetFormatPr defaultRowHeight="14.4"/>
  <cols>
    <col min="1" max="1" width="3.109375" customWidth="1"/>
    <col min="2" max="2" width="9.5546875" customWidth="1"/>
    <col min="4" max="4" width="11.44140625" customWidth="1"/>
    <col min="6" max="6" width="13.44140625" customWidth="1"/>
    <col min="9" max="9" width="10.6640625" customWidth="1"/>
    <col min="10" max="10" width="4.6640625" customWidth="1"/>
    <col min="11" max="11" width="9.109375" style="194"/>
  </cols>
  <sheetData>
    <row r="1" spans="1:11" ht="38.25" customHeight="1">
      <c r="A1" s="640" t="s">
        <v>535</v>
      </c>
      <c r="B1" s="641"/>
      <c r="C1" s="641"/>
      <c r="D1" s="641"/>
      <c r="E1" s="641"/>
      <c r="F1" s="641"/>
      <c r="G1" s="641"/>
      <c r="H1" s="641"/>
      <c r="I1" s="641"/>
      <c r="J1" s="641"/>
      <c r="K1" s="164"/>
    </row>
    <row r="3" spans="1:11" ht="24.9" customHeight="1">
      <c r="B3" s="1080" t="s">
        <v>158</v>
      </c>
      <c r="C3" s="1081"/>
      <c r="D3" s="1081"/>
      <c r="E3" s="1081"/>
      <c r="F3" s="1081"/>
      <c r="G3" s="1082"/>
      <c r="H3" s="1086" t="s">
        <v>528</v>
      </c>
      <c r="I3" s="1087"/>
    </row>
    <row r="4" spans="1:11" ht="24.9" customHeight="1">
      <c r="B4" s="1083" t="s">
        <v>529</v>
      </c>
      <c r="C4" s="1084"/>
      <c r="D4" s="1084"/>
      <c r="E4" s="1084"/>
      <c r="F4" s="1084"/>
      <c r="G4" s="1085"/>
      <c r="H4" s="1076">
        <v>5.23</v>
      </c>
      <c r="I4" s="1077"/>
    </row>
    <row r="5" spans="1:11" ht="24.9" customHeight="1">
      <c r="B5" s="1083" t="s">
        <v>530</v>
      </c>
      <c r="C5" s="1084"/>
      <c r="D5" s="1084"/>
      <c r="E5" s="1084"/>
      <c r="F5" s="1084"/>
      <c r="G5" s="1085"/>
      <c r="H5" s="1076">
        <v>10.57</v>
      </c>
      <c r="I5" s="1077"/>
    </row>
    <row r="6" spans="1:11" ht="24.9" customHeight="1">
      <c r="B6" s="1083" t="s">
        <v>531</v>
      </c>
      <c r="C6" s="1084"/>
      <c r="D6" s="1084"/>
      <c r="E6" s="1084"/>
      <c r="F6" s="1084"/>
      <c r="G6" s="1085"/>
      <c r="H6" s="1076">
        <v>8.11</v>
      </c>
      <c r="I6" s="1077"/>
    </row>
    <row r="7" spans="1:11" ht="24.9" customHeight="1">
      <c r="B7" s="1083" t="s">
        <v>532</v>
      </c>
      <c r="C7" s="1084"/>
      <c r="D7" s="1084"/>
      <c r="E7" s="1084"/>
      <c r="F7" s="1084"/>
      <c r="G7" s="1085"/>
      <c r="H7" s="1076">
        <v>8.11</v>
      </c>
      <c r="I7" s="1077"/>
    </row>
    <row r="8" spans="1:11" ht="24.9" customHeight="1">
      <c r="B8" s="1083" t="s">
        <v>533</v>
      </c>
      <c r="C8" s="1084"/>
      <c r="D8" s="1084"/>
      <c r="E8" s="1084"/>
      <c r="F8" s="1084"/>
      <c r="G8" s="1085"/>
      <c r="H8" s="1076">
        <v>5.67</v>
      </c>
      <c r="I8" s="1077"/>
    </row>
    <row r="9" spans="1:11" ht="24.9" customHeight="1">
      <c r="B9" s="1083" t="s">
        <v>534</v>
      </c>
      <c r="C9" s="1084"/>
      <c r="D9" s="1084"/>
      <c r="E9" s="1084"/>
      <c r="F9" s="1084"/>
      <c r="G9" s="1085"/>
      <c r="H9" s="1076">
        <v>12.3</v>
      </c>
      <c r="I9" s="1077"/>
    </row>
    <row r="10" spans="1:11" ht="51" customHeight="1">
      <c r="B10" s="1073" t="s">
        <v>536</v>
      </c>
      <c r="C10" s="1074"/>
      <c r="D10" s="1074"/>
      <c r="E10" s="1074"/>
      <c r="F10" s="1074"/>
      <c r="G10" s="1075"/>
      <c r="H10" s="1078">
        <v>5.76</v>
      </c>
      <c r="I10" s="1079"/>
    </row>
    <row r="12" spans="1:11">
      <c r="A12" s="197"/>
      <c r="B12" s="364"/>
      <c r="C12" s="364"/>
      <c r="D12" s="364"/>
      <c r="E12" s="364"/>
      <c r="F12" s="364"/>
      <c r="G12" s="364"/>
      <c r="H12" s="364"/>
      <c r="I12" s="364"/>
      <c r="J12" s="194"/>
    </row>
  </sheetData>
  <mergeCells count="17">
    <mergeCell ref="A1:J1"/>
    <mergeCell ref="H3:I3"/>
    <mergeCell ref="H4:I4"/>
    <mergeCell ref="H5:I5"/>
    <mergeCell ref="H6:I6"/>
    <mergeCell ref="B10:G10"/>
    <mergeCell ref="H8:I8"/>
    <mergeCell ref="H9:I9"/>
    <mergeCell ref="H10:I10"/>
    <mergeCell ref="B3:G3"/>
    <mergeCell ref="B4:G4"/>
    <mergeCell ref="B5:G5"/>
    <mergeCell ref="B6:G6"/>
    <mergeCell ref="B7:G7"/>
    <mergeCell ref="B8:G8"/>
    <mergeCell ref="B9:G9"/>
    <mergeCell ref="H7:I7"/>
  </mergeCells>
  <pageMargins left="0.511811024" right="0.511811024" top="0.78740157499999996" bottom="0.78740157499999996" header="0.31496062000000002" footer="0.31496062000000002"/>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55"/>
  <sheetViews>
    <sheetView zoomScale="106" zoomScaleNormal="100" zoomScaleSheetLayoutView="106" workbookViewId="0">
      <selection activeCell="H56" sqref="H56"/>
    </sheetView>
  </sheetViews>
  <sheetFormatPr defaultRowHeight="14.4"/>
  <cols>
    <col min="1" max="1" width="3.33203125" customWidth="1"/>
    <col min="2" max="2" width="7.5546875" customWidth="1"/>
    <col min="3" max="3" width="7.44140625" customWidth="1"/>
  </cols>
  <sheetData>
    <row r="1" spans="2:11" ht="16.5" customHeight="1">
      <c r="B1" s="1098" t="s">
        <v>513</v>
      </c>
      <c r="C1" s="1056"/>
      <c r="D1" s="1056"/>
      <c r="E1" s="1056"/>
      <c r="F1" s="1056"/>
      <c r="G1" s="1056"/>
      <c r="H1" s="1056"/>
      <c r="I1" s="1056"/>
      <c r="J1" s="1056"/>
      <c r="K1" s="1056"/>
    </row>
    <row r="2" spans="2:11" ht="16.5" customHeight="1">
      <c r="B2" s="198" t="s">
        <v>2</v>
      </c>
      <c r="C2" s="198"/>
      <c r="D2" s="198"/>
      <c r="E2" s="198"/>
      <c r="F2" s="198"/>
      <c r="G2" s="198"/>
      <c r="H2" s="198"/>
      <c r="I2" s="198"/>
      <c r="J2" s="198"/>
      <c r="K2" s="198"/>
    </row>
    <row r="3" spans="2:11" ht="16.5" customHeight="1">
      <c r="B3" s="1096"/>
      <c r="C3" s="1096"/>
      <c r="D3" s="1096"/>
      <c r="E3" s="1089" t="s">
        <v>344</v>
      </c>
      <c r="F3" s="1088"/>
      <c r="G3" s="1088"/>
      <c r="H3" s="1088"/>
      <c r="I3" s="1088"/>
      <c r="J3" s="1088"/>
      <c r="K3" s="1088"/>
    </row>
    <row r="4" spans="2:11" ht="16.5" customHeight="1">
      <c r="B4" s="1096"/>
      <c r="C4" s="1096"/>
      <c r="D4" s="1096"/>
      <c r="E4" s="1089"/>
      <c r="F4" s="1088"/>
      <c r="G4" s="1088"/>
      <c r="H4" s="1088"/>
      <c r="I4" s="1088"/>
      <c r="J4" s="1088"/>
      <c r="K4" s="1088"/>
    </row>
    <row r="5" spans="2:11" ht="11.25" customHeight="1">
      <c r="B5" s="1096"/>
      <c r="C5" s="1096"/>
      <c r="D5" s="1096"/>
      <c r="E5" s="1089" t="s">
        <v>345</v>
      </c>
      <c r="F5" s="1088"/>
      <c r="G5" s="1088"/>
      <c r="H5" s="1088"/>
      <c r="I5" s="1088"/>
      <c r="J5" s="1088"/>
      <c r="K5" s="1088"/>
    </row>
    <row r="6" spans="2:11" ht="13.5" customHeight="1">
      <c r="B6" s="1096"/>
      <c r="C6" s="1096"/>
      <c r="D6" s="1096"/>
      <c r="E6" s="1089" t="s">
        <v>346</v>
      </c>
      <c r="F6" s="1088"/>
      <c r="G6" s="1088"/>
      <c r="H6" s="1088"/>
      <c r="I6" s="1088"/>
      <c r="J6" s="1088"/>
      <c r="K6" s="1088"/>
    </row>
    <row r="7" spans="2:11" ht="13.5" customHeight="1">
      <c r="B7" s="1096"/>
      <c r="C7" s="1096"/>
      <c r="D7" s="1096"/>
      <c r="E7" s="1089" t="s">
        <v>347</v>
      </c>
      <c r="F7" s="1088"/>
      <c r="G7" s="1088"/>
      <c r="H7" s="1088"/>
      <c r="I7" s="1088"/>
      <c r="J7" s="1088"/>
      <c r="K7" s="1088"/>
    </row>
    <row r="8" spans="2:11" ht="16.5" customHeight="1">
      <c r="B8" s="198" t="str">
        <f>'BANCO DE DADOS'!B27:D27</f>
        <v>Luva Malha</v>
      </c>
      <c r="C8" s="198"/>
      <c r="D8" s="198"/>
      <c r="E8" s="198"/>
      <c r="F8" s="198"/>
      <c r="G8" s="198"/>
      <c r="H8" s="198"/>
      <c r="I8" s="198"/>
      <c r="J8" s="198"/>
      <c r="K8" s="198"/>
    </row>
    <row r="9" spans="2:11" ht="21" customHeight="1">
      <c r="B9" s="1097"/>
      <c r="C9" s="1097"/>
      <c r="D9" s="1097"/>
      <c r="E9" s="1089" t="s">
        <v>350</v>
      </c>
      <c r="F9" s="1088"/>
      <c r="G9" s="1088"/>
      <c r="H9" s="1088"/>
      <c r="I9" s="1088"/>
      <c r="J9" s="1088"/>
      <c r="K9" s="1088"/>
    </row>
    <row r="10" spans="2:11" ht="21" customHeight="1">
      <c r="B10" s="1097"/>
      <c r="C10" s="1097"/>
      <c r="D10" s="1097"/>
      <c r="E10" s="1089" t="s">
        <v>351</v>
      </c>
      <c r="F10" s="1088"/>
      <c r="G10" s="1088"/>
      <c r="H10" s="1088"/>
      <c r="I10" s="1088"/>
      <c r="J10" s="1088"/>
      <c r="K10" s="1088"/>
    </row>
    <row r="11" spans="2:11" ht="14.25" customHeight="1">
      <c r="B11" s="1097"/>
      <c r="C11" s="1097"/>
      <c r="D11" s="1097"/>
      <c r="E11" s="1089" t="s">
        <v>352</v>
      </c>
      <c r="F11" s="1088"/>
      <c r="G11" s="1088"/>
      <c r="H11" s="1088"/>
      <c r="I11" s="1088"/>
      <c r="J11" s="1088"/>
      <c r="K11" s="1088"/>
    </row>
    <row r="12" spans="2:11" ht="10.5" customHeight="1">
      <c r="B12" s="1097"/>
      <c r="C12" s="1097"/>
      <c r="D12" s="1097"/>
      <c r="E12" s="1089" t="s">
        <v>353</v>
      </c>
      <c r="F12" s="1088"/>
      <c r="G12" s="1088"/>
      <c r="H12" s="1088"/>
      <c r="I12" s="1088"/>
      <c r="J12" s="1088"/>
      <c r="K12" s="1088"/>
    </row>
    <row r="13" spans="2:11" ht="12.75" customHeight="1">
      <c r="B13" s="1097"/>
      <c r="C13" s="1097"/>
      <c r="D13" s="1097"/>
      <c r="E13" s="1089" t="s">
        <v>354</v>
      </c>
      <c r="F13" s="1088"/>
      <c r="G13" s="1088"/>
      <c r="H13" s="1088"/>
      <c r="I13" s="1088"/>
      <c r="J13" s="1088"/>
      <c r="K13" s="1088"/>
    </row>
    <row r="14" spans="2:11" ht="22.5" customHeight="1">
      <c r="B14" s="1097"/>
      <c r="C14" s="1097"/>
      <c r="D14" s="1097"/>
      <c r="E14" s="1089" t="s">
        <v>355</v>
      </c>
      <c r="F14" s="1088"/>
      <c r="G14" s="1088"/>
      <c r="H14" s="1088"/>
      <c r="I14" s="1088"/>
      <c r="J14" s="1088"/>
      <c r="K14" s="1088"/>
    </row>
    <row r="15" spans="2:11" ht="16.5" customHeight="1">
      <c r="B15" s="198" t="str">
        <f>'BANCO DE DADOS'!B28:D28</f>
        <v>Luva Nitrilica</v>
      </c>
      <c r="C15" s="198"/>
      <c r="D15" s="198"/>
      <c r="E15" s="198"/>
      <c r="F15" s="198"/>
      <c r="G15" s="198"/>
      <c r="H15" s="198"/>
      <c r="I15" s="198"/>
      <c r="J15" s="198"/>
      <c r="K15" s="198"/>
    </row>
    <row r="16" spans="2:11" ht="11.25" customHeight="1">
      <c r="B16" s="1097"/>
      <c r="C16" s="1097"/>
      <c r="D16" s="1097"/>
      <c r="E16" s="1089" t="s">
        <v>356</v>
      </c>
      <c r="F16" s="1088"/>
      <c r="G16" s="1088"/>
      <c r="H16" s="1088"/>
      <c r="I16" s="1088"/>
      <c r="J16" s="1088"/>
      <c r="K16" s="1088"/>
    </row>
    <row r="17" spans="1:11" ht="12" customHeight="1">
      <c r="B17" s="1097"/>
      <c r="C17" s="1097"/>
      <c r="D17" s="1097"/>
      <c r="E17" s="1089" t="s">
        <v>357</v>
      </c>
      <c r="F17" s="1088"/>
      <c r="G17" s="1088"/>
      <c r="H17" s="1088"/>
      <c r="I17" s="1088"/>
      <c r="J17" s="1088"/>
      <c r="K17" s="1088"/>
    </row>
    <row r="18" spans="1:11" ht="10.5" customHeight="1">
      <c r="B18" s="1097"/>
      <c r="C18" s="1097"/>
      <c r="D18" s="1097"/>
      <c r="E18" s="1089" t="s">
        <v>358</v>
      </c>
      <c r="F18" s="1088"/>
      <c r="G18" s="1088"/>
      <c r="H18" s="1088"/>
      <c r="I18" s="1088"/>
      <c r="J18" s="1088"/>
      <c r="K18" s="1088"/>
    </row>
    <row r="19" spans="1:11" ht="12.75" customHeight="1">
      <c r="B19" s="1097"/>
      <c r="C19" s="1097"/>
      <c r="D19" s="1097"/>
      <c r="E19" s="1089" t="s">
        <v>359</v>
      </c>
      <c r="F19" s="1088"/>
      <c r="G19" s="1088"/>
      <c r="H19" s="1088"/>
      <c r="I19" s="1088"/>
      <c r="J19" s="1088"/>
      <c r="K19" s="1088"/>
    </row>
    <row r="20" spans="1:11" ht="12" customHeight="1">
      <c r="B20" s="1097"/>
      <c r="C20" s="1097"/>
      <c r="D20" s="1097"/>
      <c r="E20" s="1089" t="s">
        <v>360</v>
      </c>
      <c r="F20" s="1088"/>
      <c r="G20" s="1088"/>
      <c r="H20" s="1088"/>
      <c r="I20" s="1088"/>
      <c r="J20" s="1088"/>
      <c r="K20" s="1088"/>
    </row>
    <row r="21" spans="1:11" ht="12.75" customHeight="1">
      <c r="B21" s="1097"/>
      <c r="C21" s="1097"/>
      <c r="D21" s="1097"/>
      <c r="E21" s="1089" t="s">
        <v>361</v>
      </c>
      <c r="F21" s="1088"/>
      <c r="G21" s="1088"/>
      <c r="H21" s="1088"/>
      <c r="I21" s="1088"/>
      <c r="J21" s="1088"/>
      <c r="K21" s="1088"/>
    </row>
    <row r="22" spans="1:11" ht="16.5" customHeight="1">
      <c r="B22" t="str">
        <f>'BANCO DE DADOS'!B29:D29</f>
        <v>Luva de Raspa</v>
      </c>
    </row>
    <row r="23" spans="1:11" ht="16.5" customHeight="1">
      <c r="B23" s="1097"/>
      <c r="C23" s="1097"/>
      <c r="D23" s="1097"/>
      <c r="E23" s="1089" t="s">
        <v>364</v>
      </c>
      <c r="F23" s="1088"/>
      <c r="G23" s="1088"/>
      <c r="H23" s="1088"/>
      <c r="I23" s="1088"/>
      <c r="J23" s="1088"/>
      <c r="K23" s="1088"/>
    </row>
    <row r="24" spans="1:11" ht="12" customHeight="1">
      <c r="B24" s="1097"/>
      <c r="C24" s="1097"/>
      <c r="D24" s="1097"/>
      <c r="E24" s="1089" t="s">
        <v>365</v>
      </c>
      <c r="F24" s="1088"/>
      <c r="G24" s="1088"/>
      <c r="H24" s="1088"/>
      <c r="I24" s="1088"/>
      <c r="J24" s="1088"/>
      <c r="K24" s="1088"/>
    </row>
    <row r="25" spans="1:11" ht="21" customHeight="1">
      <c r="B25" s="1097"/>
      <c r="C25" s="1097"/>
      <c r="D25" s="1097"/>
      <c r="E25" s="1089" t="s">
        <v>366</v>
      </c>
      <c r="F25" s="1088"/>
      <c r="G25" s="1088"/>
      <c r="H25" s="1088"/>
      <c r="I25" s="1088"/>
      <c r="J25" s="1088"/>
      <c r="K25" s="1088"/>
    </row>
    <row r="26" spans="1:11">
      <c r="B26" s="1097"/>
      <c r="C26" s="1097"/>
      <c r="D26" s="1097"/>
      <c r="E26" s="1089" t="s">
        <v>367</v>
      </c>
      <c r="F26" s="1088"/>
      <c r="G26" s="1088"/>
      <c r="H26" s="1088"/>
      <c r="I26" s="1088"/>
      <c r="J26" s="1088"/>
      <c r="K26" s="1088"/>
    </row>
    <row r="27" spans="1:11">
      <c r="A27" s="198"/>
      <c r="B27" s="198" t="str">
        <f>'BANCO DE DADOS'!B30:D30</f>
        <v>Protetor solar FPS 30 UVA e UVB</v>
      </c>
      <c r="C27" s="198"/>
      <c r="D27" s="198"/>
      <c r="E27" s="198"/>
      <c r="F27" s="198"/>
      <c r="G27" s="198"/>
      <c r="H27" s="198"/>
      <c r="I27" s="198"/>
      <c r="J27" s="198"/>
      <c r="K27" s="198"/>
    </row>
    <row r="28" spans="1:11">
      <c r="B28" s="1090"/>
      <c r="C28" s="1091"/>
      <c r="D28" s="1092"/>
      <c r="E28" s="1089" t="s">
        <v>368</v>
      </c>
      <c r="F28" s="1088"/>
      <c r="G28" s="1088"/>
      <c r="H28" s="1088"/>
      <c r="I28" s="1088"/>
      <c r="J28" s="1088"/>
      <c r="K28" s="1088"/>
    </row>
    <row r="29" spans="1:11" ht="40.5" customHeight="1">
      <c r="B29" s="1093"/>
      <c r="C29" s="1094"/>
      <c r="D29" s="1095"/>
      <c r="E29" s="1089" t="s">
        <v>369</v>
      </c>
      <c r="F29" s="1088"/>
      <c r="G29" s="1088"/>
      <c r="H29" s="1088"/>
      <c r="I29" s="1088"/>
      <c r="J29" s="1088"/>
      <c r="K29" s="1088"/>
    </row>
    <row r="30" spans="1:11">
      <c r="B30" s="198" t="str">
        <f>'BANCO DE DADOS'!B26:D26</f>
        <v>Capa de chuva em plástico</v>
      </c>
      <c r="C30" s="198"/>
      <c r="D30" s="198"/>
      <c r="E30" s="198"/>
      <c r="F30" s="198"/>
      <c r="G30" s="198"/>
      <c r="H30" s="198"/>
      <c r="I30" s="198"/>
      <c r="J30" s="198"/>
      <c r="K30" s="198"/>
    </row>
    <row r="31" spans="1:11">
      <c r="A31" s="198"/>
      <c r="B31" s="1096"/>
      <c r="C31" s="1096"/>
      <c r="D31" s="1096"/>
      <c r="E31" s="1088" t="s">
        <v>371</v>
      </c>
      <c r="F31" s="1088"/>
      <c r="G31" s="1088"/>
      <c r="H31" s="1088"/>
      <c r="I31" s="1088"/>
      <c r="J31" s="1088"/>
      <c r="K31" s="1088"/>
    </row>
    <row r="32" spans="1:11">
      <c r="A32" s="198"/>
      <c r="B32" s="1096"/>
      <c r="C32" s="1096"/>
      <c r="D32" s="1096"/>
      <c r="E32" s="1088" t="s">
        <v>372</v>
      </c>
      <c r="F32" s="1088"/>
      <c r="G32" s="1088"/>
      <c r="H32" s="1088"/>
      <c r="I32" s="1088"/>
      <c r="J32" s="1088"/>
      <c r="K32" s="1088"/>
    </row>
    <row r="33" spans="1:11">
      <c r="A33" s="198"/>
      <c r="B33" s="1096"/>
      <c r="C33" s="1096"/>
      <c r="D33" s="1096"/>
      <c r="E33" s="1088" t="s">
        <v>373</v>
      </c>
      <c r="F33" s="1088"/>
      <c r="G33" s="1088"/>
      <c r="H33" s="1088"/>
      <c r="I33" s="1088"/>
      <c r="J33" s="1088"/>
      <c r="K33" s="1088"/>
    </row>
    <row r="34" spans="1:11">
      <c r="A34" s="198"/>
      <c r="B34" s="1096"/>
      <c r="C34" s="1096"/>
      <c r="D34" s="1096"/>
      <c r="E34" s="198"/>
      <c r="F34" s="198"/>
      <c r="G34" s="198"/>
      <c r="H34" s="198"/>
      <c r="I34" s="198"/>
      <c r="J34" s="198"/>
      <c r="K34" s="198"/>
    </row>
    <row r="35" spans="1:11">
      <c r="A35" s="198"/>
      <c r="B35" s="1096"/>
      <c r="C35" s="1096"/>
      <c r="D35" s="1096"/>
      <c r="E35" s="198"/>
      <c r="F35" s="198"/>
      <c r="G35" s="198"/>
      <c r="H35" s="198"/>
      <c r="I35" s="198"/>
      <c r="J35" s="198"/>
      <c r="K35" s="198"/>
    </row>
    <row r="36" spans="1:11">
      <c r="A36" s="198"/>
      <c r="B36" s="258" t="str">
        <f>'BANCO DE DADOS'!B31:D31</f>
        <v>Perneira de Raspa com Velcro - Curtluvas</v>
      </c>
      <c r="C36" s="198"/>
      <c r="D36" s="198"/>
      <c r="E36" s="198"/>
      <c r="F36" s="198"/>
      <c r="G36" s="198"/>
      <c r="H36" s="198"/>
      <c r="I36" s="198"/>
      <c r="J36" s="198"/>
      <c r="K36" s="198"/>
    </row>
    <row r="37" spans="1:11">
      <c r="B37" s="1097"/>
      <c r="C37" s="1097"/>
      <c r="D37" s="1097"/>
      <c r="E37" s="1088" t="s">
        <v>401</v>
      </c>
      <c r="F37" s="1088"/>
      <c r="G37" s="1088"/>
      <c r="H37" s="1088"/>
      <c r="I37" s="1088"/>
      <c r="J37" s="1088"/>
      <c r="K37" s="1088"/>
    </row>
    <row r="38" spans="1:11">
      <c r="B38" s="1097"/>
      <c r="C38" s="1097"/>
      <c r="D38" s="1097"/>
      <c r="E38" s="1088" t="s">
        <v>402</v>
      </c>
      <c r="F38" s="1088"/>
      <c r="G38" s="1088"/>
      <c r="H38" s="1088"/>
      <c r="I38" s="1088"/>
      <c r="J38" s="1088"/>
      <c r="K38" s="1088"/>
    </row>
    <row r="39" spans="1:11">
      <c r="B39" s="1097"/>
      <c r="C39" s="1097"/>
      <c r="D39" s="1097"/>
    </row>
    <row r="40" spans="1:11">
      <c r="B40" s="1097"/>
      <c r="C40" s="1097"/>
      <c r="D40" s="1097"/>
    </row>
    <row r="41" spans="1:11">
      <c r="B41" s="1097"/>
      <c r="C41" s="1097"/>
      <c r="D41" s="1097"/>
    </row>
    <row r="43" spans="1:11">
      <c r="B43" s="239" t="str">
        <f>'BANCO DE DADOS'!B32:D32</f>
        <v>Protetor Auricular 14db Tipo Concha PPA06 - Proteplus</v>
      </c>
    </row>
    <row r="44" spans="1:11">
      <c r="E44" s="1088" t="s">
        <v>482</v>
      </c>
      <c r="F44" s="1088"/>
      <c r="G44" s="1088"/>
      <c r="H44" s="1088"/>
      <c r="I44" s="1088"/>
      <c r="J44" s="1088"/>
      <c r="K44" s="1088"/>
    </row>
    <row r="45" spans="1:11">
      <c r="E45" s="1088" t="s">
        <v>479</v>
      </c>
      <c r="F45" s="1088"/>
      <c r="G45" s="1088"/>
      <c r="H45" s="1088"/>
      <c r="I45" s="1088"/>
      <c r="J45" s="1088"/>
      <c r="K45" s="1088"/>
    </row>
    <row r="46" spans="1:11">
      <c r="E46" s="1088" t="s">
        <v>403</v>
      </c>
      <c r="F46" s="1088"/>
      <c r="G46" s="1088"/>
      <c r="H46" s="1088"/>
      <c r="I46" s="1088"/>
      <c r="J46" s="1088"/>
      <c r="K46" s="1088"/>
    </row>
    <row r="47" spans="1:11">
      <c r="E47" s="1088" t="s">
        <v>404</v>
      </c>
      <c r="F47" s="1088"/>
      <c r="G47" s="1088"/>
      <c r="H47" s="1088"/>
      <c r="I47" s="1088"/>
      <c r="J47" s="1088"/>
      <c r="K47" s="1088"/>
    </row>
    <row r="48" spans="1:11">
      <c r="E48" s="1088" t="s">
        <v>405</v>
      </c>
      <c r="F48" s="1088"/>
      <c r="G48" s="1088"/>
      <c r="H48" s="1088"/>
      <c r="I48" s="1088"/>
      <c r="J48" s="1088"/>
      <c r="K48" s="1088"/>
    </row>
    <row r="49" spans="2:11">
      <c r="E49" s="1088" t="s">
        <v>406</v>
      </c>
      <c r="F49" s="1088"/>
      <c r="G49" s="1088"/>
      <c r="H49" s="1088"/>
      <c r="I49" s="1088"/>
      <c r="J49" s="1088"/>
      <c r="K49" s="1088"/>
    </row>
    <row r="52" spans="2:11">
      <c r="B52" s="239" t="str">
        <f>'BANCO DE DADOS'!B33:D33</f>
        <v>Óculos Proteção Lateral Incolor Foxter</v>
      </c>
    </row>
    <row r="54" spans="2:11">
      <c r="E54" s="1088" t="s">
        <v>407</v>
      </c>
      <c r="F54" s="1088"/>
      <c r="G54" s="1088"/>
      <c r="H54" s="1088"/>
      <c r="I54" s="1088"/>
      <c r="J54" s="1088"/>
      <c r="K54" s="1088"/>
    </row>
    <row r="55" spans="2:11">
      <c r="E55" s="1088" t="s">
        <v>481</v>
      </c>
      <c r="F55" s="1088"/>
      <c r="G55" s="1088"/>
      <c r="H55" s="1088"/>
      <c r="I55" s="1088"/>
      <c r="J55" s="1088"/>
      <c r="K55" s="1088"/>
    </row>
  </sheetData>
  <mergeCells count="43">
    <mergeCell ref="E14:K14"/>
    <mergeCell ref="B9:D14"/>
    <mergeCell ref="B1:K1"/>
    <mergeCell ref="B3:D7"/>
    <mergeCell ref="E3:K4"/>
    <mergeCell ref="E5:K5"/>
    <mergeCell ref="E6:K6"/>
    <mergeCell ref="E7:K7"/>
    <mergeCell ref="E9:K9"/>
    <mergeCell ref="E10:K10"/>
    <mergeCell ref="E11:K11"/>
    <mergeCell ref="E12:K12"/>
    <mergeCell ref="E13:K13"/>
    <mergeCell ref="E26:K26"/>
    <mergeCell ref="B23:D26"/>
    <mergeCell ref="E20:K20"/>
    <mergeCell ref="E16:K16"/>
    <mergeCell ref="E17:K17"/>
    <mergeCell ref="E21:K21"/>
    <mergeCell ref="B16:D21"/>
    <mergeCell ref="E23:K23"/>
    <mergeCell ref="E24:K24"/>
    <mergeCell ref="E25:K25"/>
    <mergeCell ref="E18:K18"/>
    <mergeCell ref="E19:K19"/>
    <mergeCell ref="E46:K46"/>
    <mergeCell ref="E28:K28"/>
    <mergeCell ref="E29:K29"/>
    <mergeCell ref="B28:D29"/>
    <mergeCell ref="E31:K31"/>
    <mergeCell ref="E32:K32"/>
    <mergeCell ref="E33:K33"/>
    <mergeCell ref="B31:D35"/>
    <mergeCell ref="B37:D41"/>
    <mergeCell ref="E37:K37"/>
    <mergeCell ref="E38:K38"/>
    <mergeCell ref="E44:K44"/>
    <mergeCell ref="E45:K45"/>
    <mergeCell ref="E47:K47"/>
    <mergeCell ref="E48:K48"/>
    <mergeCell ref="E49:K49"/>
    <mergeCell ref="E54:K54"/>
    <mergeCell ref="E55:K55"/>
  </mergeCells>
  <pageMargins left="0.51181102362204722" right="0.51181102362204722" top="0.78740157480314965" bottom="0.78740157480314965" header="0.31496062992125984" footer="0.31496062992125984"/>
  <pageSetup paperSize="9" orientation="portrait" horizontalDpi="300" verticalDpi="300" r:id="rId1"/>
  <rowBreaks count="1" manualBreakCount="1">
    <brk id="41"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26"/>
  <sheetViews>
    <sheetView topLeftCell="A10" zoomScale="130" zoomScaleNormal="118" zoomScaleSheetLayoutView="130" workbookViewId="0">
      <selection activeCell="C7" sqref="C7"/>
    </sheetView>
  </sheetViews>
  <sheetFormatPr defaultRowHeight="14.4"/>
  <cols>
    <col min="1" max="1" width="4.44140625" customWidth="1"/>
    <col min="2" max="2" width="25.44140625" customWidth="1"/>
    <col min="3" max="3" width="12.109375" customWidth="1"/>
    <col min="4" max="4" width="5.6640625" customWidth="1"/>
    <col min="5" max="7" width="10.88671875" style="271" customWidth="1"/>
    <col min="8" max="8" width="10.77734375" style="271" customWidth="1"/>
    <col min="9" max="9" width="11.109375" style="271" customWidth="1"/>
    <col min="10" max="10" width="10.88671875" style="271" customWidth="1"/>
    <col min="11" max="12" width="11.33203125" style="271" customWidth="1"/>
    <col min="13" max="13" width="12.109375" style="271" customWidth="1"/>
    <col min="14" max="14" width="11.109375" style="271" customWidth="1"/>
    <col min="15" max="15" width="10.77734375" style="271" customWidth="1"/>
    <col min="16" max="16" width="12" style="271" customWidth="1"/>
    <col min="17" max="17" width="11.44140625" style="271" customWidth="1"/>
    <col min="19" max="19" width="17.77734375" bestFit="1" customWidth="1"/>
  </cols>
  <sheetData>
    <row r="1" spans="1:21" ht="18" customHeight="1">
      <c r="A1" s="481" t="s">
        <v>453</v>
      </c>
      <c r="B1" s="482"/>
      <c r="C1" s="482"/>
      <c r="D1" s="482"/>
      <c r="E1" s="482"/>
      <c r="F1" s="482"/>
      <c r="G1" s="482"/>
      <c r="H1" s="482"/>
      <c r="I1" s="482"/>
      <c r="J1" s="482"/>
      <c r="K1" s="482"/>
      <c r="L1" s="482"/>
      <c r="M1" s="482"/>
      <c r="N1" s="482"/>
      <c r="O1" s="482"/>
      <c r="P1" s="482"/>
      <c r="Q1" s="295"/>
      <c r="R1" s="287"/>
      <c r="S1" s="287"/>
      <c r="T1" s="287"/>
      <c r="U1" s="194"/>
    </row>
    <row r="2" spans="1:21" ht="6.75" customHeight="1">
      <c r="A2" s="290"/>
      <c r="B2" s="263"/>
      <c r="C2" s="263"/>
      <c r="D2" s="263"/>
      <c r="E2" s="267"/>
      <c r="F2" s="267"/>
      <c r="G2" s="267"/>
      <c r="H2" s="267"/>
      <c r="I2" s="267"/>
      <c r="J2" s="267"/>
      <c r="K2" s="267"/>
      <c r="L2" s="267"/>
      <c r="M2" s="267"/>
      <c r="N2" s="267"/>
      <c r="O2" s="267"/>
      <c r="P2" s="267"/>
      <c r="Q2" s="268"/>
      <c r="R2" s="194"/>
      <c r="S2" s="194"/>
      <c r="T2" s="194"/>
      <c r="U2" s="194"/>
    </row>
    <row r="3" spans="1:21">
      <c r="A3" s="503" t="s">
        <v>429</v>
      </c>
      <c r="B3" s="504"/>
      <c r="C3" s="266" t="s">
        <v>430</v>
      </c>
      <c r="D3" s="265"/>
      <c r="E3" s="269"/>
      <c r="F3" s="269"/>
      <c r="G3" s="269"/>
      <c r="H3" s="269"/>
      <c r="I3" s="269"/>
      <c r="J3" s="269"/>
      <c r="K3" s="269"/>
      <c r="L3" s="269"/>
      <c r="M3" s="269"/>
      <c r="N3" s="269"/>
      <c r="O3" s="269"/>
      <c r="P3" s="269"/>
      <c r="Q3" s="292"/>
      <c r="R3" s="272"/>
      <c r="S3" s="272"/>
      <c r="T3" s="272"/>
      <c r="U3" s="194"/>
    </row>
    <row r="4" spans="1:21">
      <c r="A4" s="503" t="s">
        <v>431</v>
      </c>
      <c r="B4" s="504"/>
      <c r="C4" s="264" t="s">
        <v>454</v>
      </c>
      <c r="D4" s="263"/>
      <c r="E4" s="267"/>
      <c r="F4" s="267"/>
      <c r="G4" s="267"/>
      <c r="H4" s="267"/>
      <c r="I4" s="267"/>
      <c r="J4" s="267"/>
      <c r="K4" s="267"/>
      <c r="L4" s="267"/>
      <c r="M4" s="267"/>
      <c r="N4" s="267"/>
      <c r="O4" s="267"/>
      <c r="P4" s="267"/>
      <c r="Q4" s="286"/>
      <c r="R4" s="272"/>
      <c r="S4" s="272"/>
      <c r="T4" s="272"/>
      <c r="U4" s="194"/>
    </row>
    <row r="5" spans="1:21" ht="15" customHeight="1">
      <c r="A5" s="483" t="s">
        <v>432</v>
      </c>
      <c r="B5" s="484"/>
      <c r="C5" s="505" t="s">
        <v>681</v>
      </c>
      <c r="D5" s="506"/>
      <c r="E5" s="506"/>
      <c r="F5" s="506"/>
      <c r="G5" s="506"/>
      <c r="H5" s="506"/>
      <c r="I5" s="506"/>
      <c r="J5" s="506"/>
      <c r="K5" s="506"/>
      <c r="L5" s="506"/>
      <c r="M5" s="506"/>
      <c r="N5" s="506"/>
      <c r="O5" s="506"/>
      <c r="P5" s="506"/>
      <c r="Q5" s="501"/>
      <c r="R5" s="285"/>
      <c r="S5" s="285"/>
      <c r="T5" s="285"/>
      <c r="U5" s="194"/>
    </row>
    <row r="6" spans="1:21" ht="103.5" customHeight="1">
      <c r="A6" s="483"/>
      <c r="B6" s="484"/>
      <c r="C6" s="507"/>
      <c r="D6" s="508"/>
      <c r="E6" s="508"/>
      <c r="F6" s="508"/>
      <c r="G6" s="508"/>
      <c r="H6" s="508"/>
      <c r="I6" s="508"/>
      <c r="J6" s="508"/>
      <c r="K6" s="508"/>
      <c r="L6" s="508"/>
      <c r="M6" s="508"/>
      <c r="N6" s="508"/>
      <c r="O6" s="508"/>
      <c r="P6" s="508"/>
      <c r="Q6" s="502"/>
      <c r="R6" s="285"/>
      <c r="S6" s="285"/>
      <c r="T6" s="285"/>
      <c r="U6" s="194"/>
    </row>
    <row r="7" spans="1:21" ht="12.75" customHeight="1">
      <c r="A7" s="503" t="s">
        <v>433</v>
      </c>
      <c r="B7" s="504"/>
      <c r="C7" s="263" t="s">
        <v>680</v>
      </c>
      <c r="D7" s="263"/>
      <c r="E7" s="267"/>
      <c r="F7" s="267"/>
      <c r="G7" s="267"/>
      <c r="H7" s="267"/>
      <c r="I7" s="268"/>
      <c r="J7" s="270" t="s">
        <v>434</v>
      </c>
      <c r="K7" s="491" t="s">
        <v>455</v>
      </c>
      <c r="L7" s="492"/>
      <c r="M7" s="267"/>
      <c r="N7" s="267"/>
      <c r="O7" s="267"/>
      <c r="P7" s="267"/>
      <c r="Q7" s="268"/>
      <c r="R7" s="272"/>
      <c r="S7" s="272"/>
      <c r="T7" s="272"/>
      <c r="U7" s="194"/>
    </row>
    <row r="8" spans="1:21" ht="8.25" customHeight="1" thickBot="1">
      <c r="A8" s="291"/>
      <c r="B8" s="288"/>
      <c r="C8" s="288"/>
      <c r="D8" s="288"/>
      <c r="E8" s="288"/>
      <c r="F8" s="288"/>
      <c r="G8" s="288"/>
      <c r="H8" s="288"/>
      <c r="I8" s="288"/>
      <c r="J8" s="288"/>
      <c r="K8" s="288"/>
      <c r="L8" s="288"/>
      <c r="M8" s="288"/>
      <c r="N8" s="288"/>
      <c r="O8" s="288"/>
      <c r="P8" s="289"/>
      <c r="Q8" s="289"/>
      <c r="R8" s="194"/>
      <c r="S8" s="194"/>
      <c r="T8" s="194"/>
      <c r="U8" s="194"/>
    </row>
    <row r="9" spans="1:21" ht="15" thickBot="1">
      <c r="A9" s="273" t="s">
        <v>80</v>
      </c>
      <c r="B9" s="274" t="s">
        <v>435</v>
      </c>
      <c r="C9" s="273" t="s">
        <v>436</v>
      </c>
      <c r="D9" s="274" t="s">
        <v>437</v>
      </c>
      <c r="E9" s="273" t="s">
        <v>438</v>
      </c>
      <c r="F9" s="274" t="s">
        <v>439</v>
      </c>
      <c r="G9" s="273" t="s">
        <v>440</v>
      </c>
      <c r="H9" s="274" t="s">
        <v>441</v>
      </c>
      <c r="I9" s="273" t="s">
        <v>442</v>
      </c>
      <c r="J9" s="274" t="s">
        <v>443</v>
      </c>
      <c r="K9" s="273" t="s">
        <v>444</v>
      </c>
      <c r="L9" s="274" t="s">
        <v>445</v>
      </c>
      <c r="M9" s="273" t="s">
        <v>446</v>
      </c>
      <c r="N9" s="274" t="s">
        <v>447</v>
      </c>
      <c r="O9" s="273" t="s">
        <v>448</v>
      </c>
      <c r="P9" s="274" t="s">
        <v>449</v>
      </c>
      <c r="Q9" s="273" t="s">
        <v>450</v>
      </c>
    </row>
    <row r="10" spans="1:21">
      <c r="A10" s="471">
        <f>'[3]Planilha orçamentaria'!A8</f>
        <v>1</v>
      </c>
      <c r="B10" s="497" t="str">
        <f>'PLANILHA ORÇAMENTARIA'!C5</f>
        <v xml:space="preserve"> Coleta manual e conteinerizada de resíduos sólidos domiciliares da área urbana da cidade, incluindo as áreas de difícil acesso; </v>
      </c>
      <c r="C10" s="473">
        <f>'PLANILHA ORÇAMENTARIA'!K5*12</f>
        <v>3922451.76</v>
      </c>
      <c r="D10" s="479">
        <f>C10/$C$20</f>
        <v>0.3704484635290417</v>
      </c>
      <c r="E10" s="297">
        <v>8.3333299999999999E-2</v>
      </c>
      <c r="F10" s="297">
        <v>8.3333299999999999E-2</v>
      </c>
      <c r="G10" s="297">
        <v>8.3333299999999999E-2</v>
      </c>
      <c r="H10" s="297">
        <v>8.3333299999999999E-2</v>
      </c>
      <c r="I10" s="297">
        <v>8.3333299999999999E-2</v>
      </c>
      <c r="J10" s="297">
        <v>8.3333299999999999E-2</v>
      </c>
      <c r="K10" s="297">
        <v>8.3333299999999999E-2</v>
      </c>
      <c r="L10" s="297">
        <v>8.3333299999999999E-2</v>
      </c>
      <c r="M10" s="297">
        <v>8.3333299999999999E-2</v>
      </c>
      <c r="N10" s="297">
        <v>8.3333299999999999E-2</v>
      </c>
      <c r="O10" s="297">
        <v>8.3333299999999999E-2</v>
      </c>
      <c r="P10" s="297">
        <v>8.3333299999999999E-2</v>
      </c>
      <c r="Q10" s="298">
        <f>SUM(E10:P10)</f>
        <v>0.99999960000000021</v>
      </c>
    </row>
    <row r="11" spans="1:21" ht="24" customHeight="1" thickBot="1">
      <c r="A11" s="472"/>
      <c r="B11" s="498"/>
      <c r="C11" s="474"/>
      <c r="D11" s="480"/>
      <c r="E11" s="275">
        <f>E10*$C$10</f>
        <v>326870.84925160796</v>
      </c>
      <c r="F11" s="275">
        <f t="shared" ref="F11:Q11" si="0">F10*$C$10</f>
        <v>326870.84925160796</v>
      </c>
      <c r="G11" s="275">
        <f t="shared" si="0"/>
        <v>326870.84925160796</v>
      </c>
      <c r="H11" s="275">
        <f t="shared" si="0"/>
        <v>326870.84925160796</v>
      </c>
      <c r="I11" s="275">
        <f t="shared" si="0"/>
        <v>326870.84925160796</v>
      </c>
      <c r="J11" s="275">
        <f t="shared" si="0"/>
        <v>326870.84925160796</v>
      </c>
      <c r="K11" s="275">
        <f t="shared" si="0"/>
        <v>326870.84925160796</v>
      </c>
      <c r="L11" s="275">
        <f t="shared" si="0"/>
        <v>326870.84925160796</v>
      </c>
      <c r="M11" s="275">
        <f t="shared" si="0"/>
        <v>326870.84925160796</v>
      </c>
      <c r="N11" s="275">
        <f t="shared" si="0"/>
        <v>326870.84925160796</v>
      </c>
      <c r="O11" s="275">
        <f t="shared" si="0"/>
        <v>326870.84925160796</v>
      </c>
      <c r="P11" s="275">
        <f t="shared" si="0"/>
        <v>326870.84925160796</v>
      </c>
      <c r="Q11" s="275">
        <f t="shared" si="0"/>
        <v>3922450.1910192966</v>
      </c>
    </row>
    <row r="12" spans="1:21" ht="11.25" customHeight="1">
      <c r="A12" s="499">
        <f>'[3]Planilha orçamentaria'!A9</f>
        <v>2</v>
      </c>
      <c r="B12" s="495" t="str">
        <f>'PLANILHA ORÇAMENTARIA'!C6</f>
        <v>Varrição manual de vias e logradouros públicos incluindo o sacheamento e  esvaziamento de lixeiras públicas.</v>
      </c>
      <c r="C12" s="473">
        <f>'PLANILHA ORÇAMENTARIA'!K6*12</f>
        <v>4181271.12</v>
      </c>
      <c r="D12" s="475">
        <f>C12/$C$20</f>
        <v>0.39489216356923545</v>
      </c>
      <c r="E12" s="297">
        <v>8.3333299999999999E-2</v>
      </c>
      <c r="F12" s="297">
        <v>8.3333299999999999E-2</v>
      </c>
      <c r="G12" s="297">
        <v>8.3333299999999999E-2</v>
      </c>
      <c r="H12" s="297">
        <v>8.3333299999999999E-2</v>
      </c>
      <c r="I12" s="297">
        <v>8.3333299999999999E-2</v>
      </c>
      <c r="J12" s="297">
        <v>8.3333299999999999E-2</v>
      </c>
      <c r="K12" s="297">
        <v>8.3333299999999999E-2</v>
      </c>
      <c r="L12" s="297">
        <v>8.3333299999999999E-2</v>
      </c>
      <c r="M12" s="297">
        <v>8.3333299999999999E-2</v>
      </c>
      <c r="N12" s="297">
        <v>8.3333299999999999E-2</v>
      </c>
      <c r="O12" s="297">
        <v>8.3333299999999999E-2</v>
      </c>
      <c r="P12" s="297">
        <v>8.3333299999999999E-2</v>
      </c>
      <c r="Q12" s="298">
        <f t="shared" ref="Q12:Q19" si="1">SUM(E12:P12)</f>
        <v>0.99999960000000021</v>
      </c>
    </row>
    <row r="13" spans="1:21" ht="15.75" customHeight="1" thickBot="1">
      <c r="A13" s="500"/>
      <c r="B13" s="496"/>
      <c r="C13" s="474"/>
      <c r="D13" s="476"/>
      <c r="E13" s="276">
        <f>$C$12*E12</f>
        <v>348439.12062429602</v>
      </c>
      <c r="F13" s="276">
        <f t="shared" ref="F13:P13" si="2">$C$12*F12</f>
        <v>348439.12062429602</v>
      </c>
      <c r="G13" s="276">
        <f t="shared" si="2"/>
        <v>348439.12062429602</v>
      </c>
      <c r="H13" s="276">
        <f t="shared" si="2"/>
        <v>348439.12062429602</v>
      </c>
      <c r="I13" s="276">
        <f t="shared" si="2"/>
        <v>348439.12062429602</v>
      </c>
      <c r="J13" s="276">
        <f t="shared" si="2"/>
        <v>348439.12062429602</v>
      </c>
      <c r="K13" s="276">
        <f t="shared" si="2"/>
        <v>348439.12062429602</v>
      </c>
      <c r="L13" s="276">
        <f t="shared" si="2"/>
        <v>348439.12062429602</v>
      </c>
      <c r="M13" s="276">
        <f t="shared" si="2"/>
        <v>348439.12062429602</v>
      </c>
      <c r="N13" s="276">
        <f t="shared" si="2"/>
        <v>348439.12062429602</v>
      </c>
      <c r="O13" s="276">
        <f t="shared" si="2"/>
        <v>348439.12062429602</v>
      </c>
      <c r="P13" s="276">
        <f t="shared" si="2"/>
        <v>348439.12062429602</v>
      </c>
      <c r="Q13" s="275">
        <f t="shared" si="1"/>
        <v>4181269.4474915513</v>
      </c>
    </row>
    <row r="14" spans="1:21" ht="17.25" customHeight="1">
      <c r="A14" s="493">
        <v>3</v>
      </c>
      <c r="B14" s="495" t="str">
        <f>'PLANILHA ORÇAMENTARIA'!C7</f>
        <v>Fornecimento, implantação e operação de conteineres com capc. Para 1000 litros</v>
      </c>
      <c r="C14" s="473">
        <f>'PLANILHA ORÇAMENTARIA'!K7*12</f>
        <v>142164.92833200001</v>
      </c>
      <c r="D14" s="479">
        <f>C14/$C$20</f>
        <v>1.3426495082837102E-2</v>
      </c>
      <c r="E14" s="297">
        <v>8.3333299999999999E-2</v>
      </c>
      <c r="F14" s="297">
        <v>8.3333299999999999E-2</v>
      </c>
      <c r="G14" s="297">
        <v>8.3333299999999999E-2</v>
      </c>
      <c r="H14" s="297">
        <v>8.3333299999999999E-2</v>
      </c>
      <c r="I14" s="297">
        <v>8.3333299999999999E-2</v>
      </c>
      <c r="J14" s="297">
        <v>8.3333299999999999E-2</v>
      </c>
      <c r="K14" s="297">
        <v>8.3333299999999999E-2</v>
      </c>
      <c r="L14" s="297">
        <v>8.3333299999999999E-2</v>
      </c>
      <c r="M14" s="297">
        <v>8.3333299999999999E-2</v>
      </c>
      <c r="N14" s="297">
        <v>8.3333299999999999E-2</v>
      </c>
      <c r="O14" s="297">
        <v>8.3333299999999999E-2</v>
      </c>
      <c r="P14" s="297">
        <v>8.3333299999999999E-2</v>
      </c>
      <c r="Q14" s="298">
        <f t="shared" si="1"/>
        <v>0.99999960000000021</v>
      </c>
    </row>
    <row r="15" spans="1:21" ht="23.25" customHeight="1" thickBot="1">
      <c r="A15" s="494"/>
      <c r="B15" s="496"/>
      <c r="C15" s="474"/>
      <c r="D15" s="480"/>
      <c r="E15" s="277">
        <f>$C$14*E14</f>
        <v>11847.072622169057</v>
      </c>
      <c r="F15" s="277">
        <f t="shared" ref="F15:P15" si="3">$C$14*F14</f>
        <v>11847.072622169057</v>
      </c>
      <c r="G15" s="277">
        <f t="shared" si="3"/>
        <v>11847.072622169057</v>
      </c>
      <c r="H15" s="277">
        <f t="shared" si="3"/>
        <v>11847.072622169057</v>
      </c>
      <c r="I15" s="277">
        <f t="shared" si="3"/>
        <v>11847.072622169057</v>
      </c>
      <c r="J15" s="277">
        <f t="shared" si="3"/>
        <v>11847.072622169057</v>
      </c>
      <c r="K15" s="277">
        <f t="shared" si="3"/>
        <v>11847.072622169057</v>
      </c>
      <c r="L15" s="277">
        <f t="shared" si="3"/>
        <v>11847.072622169057</v>
      </c>
      <c r="M15" s="277">
        <f t="shared" si="3"/>
        <v>11847.072622169057</v>
      </c>
      <c r="N15" s="277">
        <f t="shared" si="3"/>
        <v>11847.072622169057</v>
      </c>
      <c r="O15" s="277">
        <f t="shared" si="3"/>
        <v>11847.072622169057</v>
      </c>
      <c r="P15" s="277">
        <f t="shared" si="3"/>
        <v>11847.072622169057</v>
      </c>
      <c r="Q15" s="276">
        <f t="shared" si="1"/>
        <v>142164.87146602868</v>
      </c>
    </row>
    <row r="16" spans="1:21" ht="23.25" customHeight="1">
      <c r="A16" s="471">
        <v>4</v>
      </c>
      <c r="B16" s="477" t="s">
        <v>475</v>
      </c>
      <c r="C16" s="467">
        <f>'PLANILHA ORÇAMENTARIA'!K8*12</f>
        <v>1115694.7912227619</v>
      </c>
      <c r="D16" s="479">
        <f>C16/$C$20</f>
        <v>0.10536966327810927</v>
      </c>
      <c r="E16" s="297">
        <v>8.3333299999999999E-2</v>
      </c>
      <c r="F16" s="297">
        <v>8.3333299999999999E-2</v>
      </c>
      <c r="G16" s="297">
        <v>8.3333299999999999E-2</v>
      </c>
      <c r="H16" s="297">
        <v>8.3333299999999999E-2</v>
      </c>
      <c r="I16" s="297">
        <v>8.3333299999999999E-2</v>
      </c>
      <c r="J16" s="297">
        <v>8.3333299999999999E-2</v>
      </c>
      <c r="K16" s="297">
        <v>8.3333299999999999E-2</v>
      </c>
      <c r="L16" s="297">
        <v>8.3333299999999999E-2</v>
      </c>
      <c r="M16" s="297">
        <v>8.3333299999999999E-2</v>
      </c>
      <c r="N16" s="297">
        <v>8.3333299999999999E-2</v>
      </c>
      <c r="O16" s="297">
        <v>8.3333299999999999E-2</v>
      </c>
      <c r="P16" s="297">
        <v>8.3333299999999999E-2</v>
      </c>
      <c r="Q16" s="298">
        <f>SUM(E16:P16)</f>
        <v>0.99999960000000021</v>
      </c>
    </row>
    <row r="17" spans="1:19" ht="25.5" customHeight="1" thickBot="1">
      <c r="A17" s="472"/>
      <c r="B17" s="478"/>
      <c r="C17" s="468"/>
      <c r="D17" s="480"/>
      <c r="E17" s="277">
        <f t="shared" ref="E17:P17" si="4">$C$16*E16</f>
        <v>92974.528745403775</v>
      </c>
      <c r="F17" s="277">
        <f t="shared" si="4"/>
        <v>92974.528745403775</v>
      </c>
      <c r="G17" s="277">
        <f t="shared" si="4"/>
        <v>92974.528745403775</v>
      </c>
      <c r="H17" s="277">
        <f t="shared" si="4"/>
        <v>92974.528745403775</v>
      </c>
      <c r="I17" s="277">
        <f t="shared" si="4"/>
        <v>92974.528745403775</v>
      </c>
      <c r="J17" s="277">
        <f t="shared" si="4"/>
        <v>92974.528745403775</v>
      </c>
      <c r="K17" s="277">
        <f t="shared" si="4"/>
        <v>92974.528745403775</v>
      </c>
      <c r="L17" s="277">
        <f t="shared" si="4"/>
        <v>92974.528745403775</v>
      </c>
      <c r="M17" s="277">
        <f t="shared" si="4"/>
        <v>92974.528745403775</v>
      </c>
      <c r="N17" s="277">
        <f t="shared" si="4"/>
        <v>92974.528745403775</v>
      </c>
      <c r="O17" s="277">
        <f t="shared" si="4"/>
        <v>92974.528745403775</v>
      </c>
      <c r="P17" s="277">
        <f t="shared" si="4"/>
        <v>92974.528745403775</v>
      </c>
      <c r="Q17" s="311">
        <f>SUM(E17:P17)</f>
        <v>1115694.3449448452</v>
      </c>
    </row>
    <row r="18" spans="1:19" ht="12.75" customHeight="1">
      <c r="A18" s="471">
        <v>5</v>
      </c>
      <c r="B18" s="469" t="str">
        <f>'PLANILHA ORÇAMENTARIA'!C9</f>
        <v xml:space="preserve">Coleta manual e conteinerizada de resíduos sólidos domiciliares da área RURAL; </v>
      </c>
      <c r="C18" s="467">
        <f>'PLANILHA ORÇAMENTARIA'!K9*12</f>
        <v>1226804.5748260962</v>
      </c>
      <c r="D18" s="465">
        <f>C18/$C$20</f>
        <v>0.11586321454077655</v>
      </c>
      <c r="E18" s="297">
        <v>8.3333299999999999E-2</v>
      </c>
      <c r="F18" s="297">
        <v>8.3333299999999999E-2</v>
      </c>
      <c r="G18" s="297">
        <v>8.3333299999999999E-2</v>
      </c>
      <c r="H18" s="297">
        <v>8.3333299999999999E-2</v>
      </c>
      <c r="I18" s="297">
        <v>8.3333299999999999E-2</v>
      </c>
      <c r="J18" s="297">
        <v>8.3333299999999999E-2</v>
      </c>
      <c r="K18" s="297">
        <v>8.3333299999999999E-2</v>
      </c>
      <c r="L18" s="297">
        <v>8.3333299999999999E-2</v>
      </c>
      <c r="M18" s="297">
        <v>8.3333299999999999E-2</v>
      </c>
      <c r="N18" s="297">
        <v>8.3333299999999999E-2</v>
      </c>
      <c r="O18" s="297">
        <v>8.3333299999999999E-2</v>
      </c>
      <c r="P18" s="297">
        <v>8.3333299999999999E-2</v>
      </c>
      <c r="Q18" s="298">
        <f t="shared" si="1"/>
        <v>0.99999960000000021</v>
      </c>
    </row>
    <row r="19" spans="1:19" ht="39" customHeight="1" thickBot="1">
      <c r="A19" s="472"/>
      <c r="B19" s="470"/>
      <c r="C19" s="468"/>
      <c r="D19" s="466"/>
      <c r="E19" s="277">
        <f>$C$18*E18</f>
        <v>102233.67367535552</v>
      </c>
      <c r="F19" s="277">
        <f t="shared" ref="F19:P19" si="5">$C$18*F18</f>
        <v>102233.67367535552</v>
      </c>
      <c r="G19" s="277">
        <f t="shared" si="5"/>
        <v>102233.67367535552</v>
      </c>
      <c r="H19" s="277">
        <f t="shared" si="5"/>
        <v>102233.67367535552</v>
      </c>
      <c r="I19" s="277">
        <f t="shared" si="5"/>
        <v>102233.67367535552</v>
      </c>
      <c r="J19" s="277">
        <f t="shared" si="5"/>
        <v>102233.67367535552</v>
      </c>
      <c r="K19" s="277">
        <f t="shared" si="5"/>
        <v>102233.67367535552</v>
      </c>
      <c r="L19" s="277">
        <f t="shared" si="5"/>
        <v>102233.67367535552</v>
      </c>
      <c r="M19" s="277">
        <f t="shared" si="5"/>
        <v>102233.67367535552</v>
      </c>
      <c r="N19" s="277">
        <f t="shared" si="5"/>
        <v>102233.67367535552</v>
      </c>
      <c r="O19" s="277">
        <f t="shared" si="5"/>
        <v>102233.67367535552</v>
      </c>
      <c r="P19" s="277">
        <f t="shared" si="5"/>
        <v>102233.67367535552</v>
      </c>
      <c r="Q19" s="275">
        <f t="shared" si="1"/>
        <v>1226804.0841042663</v>
      </c>
      <c r="S19" s="312"/>
    </row>
    <row r="20" spans="1:19" ht="12" customHeight="1" thickBot="1">
      <c r="A20" s="485" t="s">
        <v>19</v>
      </c>
      <c r="B20" s="486"/>
      <c r="C20" s="448">
        <f>SUM(C10:C19)</f>
        <v>10588387.174380857</v>
      </c>
      <c r="D20" s="278">
        <f>SUM(D10:D19)</f>
        <v>1.0000000000000002</v>
      </c>
      <c r="E20" s="279">
        <f>E11+E13+E15+E19+E17</f>
        <v>882365.24491883232</v>
      </c>
      <c r="F20" s="279">
        <f>F11+F13+F15+F19+F17</f>
        <v>882365.24491883232</v>
      </c>
      <c r="G20" s="279">
        <f t="shared" ref="G20:P20" si="6">G11+G13+G15+G19+G17</f>
        <v>882365.24491883232</v>
      </c>
      <c r="H20" s="279">
        <f t="shared" si="6"/>
        <v>882365.24491883232</v>
      </c>
      <c r="I20" s="279">
        <f t="shared" si="6"/>
        <v>882365.24491883232</v>
      </c>
      <c r="J20" s="279">
        <f t="shared" si="6"/>
        <v>882365.24491883232</v>
      </c>
      <c r="K20" s="279">
        <f t="shared" si="6"/>
        <v>882365.24491883232</v>
      </c>
      <c r="L20" s="279">
        <f t="shared" si="6"/>
        <v>882365.24491883232</v>
      </c>
      <c r="M20" s="279">
        <f t="shared" si="6"/>
        <v>882365.24491883232</v>
      </c>
      <c r="N20" s="279">
        <f t="shared" si="6"/>
        <v>882365.24491883232</v>
      </c>
      <c r="O20" s="279">
        <f t="shared" si="6"/>
        <v>882365.24491883232</v>
      </c>
      <c r="P20" s="279">
        <f t="shared" si="6"/>
        <v>882365.24491883232</v>
      </c>
      <c r="Q20" s="275">
        <f>Q11+Q13+Q15+Q19+Q17</f>
        <v>10588382.939025989</v>
      </c>
    </row>
    <row r="21" spans="1:19" ht="11.25" customHeight="1">
      <c r="A21" s="487" t="s">
        <v>451</v>
      </c>
      <c r="B21" s="488"/>
      <c r="C21" s="280"/>
      <c r="D21" s="280"/>
      <c r="E21" s="281">
        <f>E20/$C$20</f>
        <v>8.3333299999999999E-2</v>
      </c>
      <c r="F21" s="281">
        <f t="shared" ref="F21:P21" si="7">F20/$C$20</f>
        <v>8.3333299999999999E-2</v>
      </c>
      <c r="G21" s="281">
        <f t="shared" si="7"/>
        <v>8.3333299999999999E-2</v>
      </c>
      <c r="H21" s="281">
        <f t="shared" si="7"/>
        <v>8.3333299999999999E-2</v>
      </c>
      <c r="I21" s="281">
        <f t="shared" si="7"/>
        <v>8.3333299999999999E-2</v>
      </c>
      <c r="J21" s="281">
        <f t="shared" si="7"/>
        <v>8.3333299999999999E-2</v>
      </c>
      <c r="K21" s="280">
        <f t="shared" si="7"/>
        <v>8.3333299999999999E-2</v>
      </c>
      <c r="L21" s="280">
        <f t="shared" si="7"/>
        <v>8.3333299999999999E-2</v>
      </c>
      <c r="M21" s="280">
        <f t="shared" si="7"/>
        <v>8.3333299999999999E-2</v>
      </c>
      <c r="N21" s="280">
        <f t="shared" si="7"/>
        <v>8.3333299999999999E-2</v>
      </c>
      <c r="O21" s="280">
        <f t="shared" si="7"/>
        <v>8.3333299999999999E-2</v>
      </c>
      <c r="P21" s="280">
        <f t="shared" si="7"/>
        <v>8.3333299999999999E-2</v>
      </c>
      <c r="Q21" s="293"/>
      <c r="S21" s="310"/>
    </row>
    <row r="22" spans="1:19" ht="12" customHeight="1" thickBot="1">
      <c r="A22" s="489" t="s">
        <v>452</v>
      </c>
      <c r="B22" s="490"/>
      <c r="C22" s="282"/>
      <c r="D22" s="282"/>
      <c r="E22" s="283">
        <f>E21</f>
        <v>8.3333299999999999E-2</v>
      </c>
      <c r="F22" s="283">
        <f t="shared" ref="F22:K22" si="8">E22+F21</f>
        <v>0.1666666</v>
      </c>
      <c r="G22" s="283">
        <f t="shared" si="8"/>
        <v>0.2499999</v>
      </c>
      <c r="H22" s="283">
        <f t="shared" si="8"/>
        <v>0.3333332</v>
      </c>
      <c r="I22" s="283">
        <f t="shared" si="8"/>
        <v>0.4166665</v>
      </c>
      <c r="J22" s="283">
        <f t="shared" si="8"/>
        <v>0.49999979999999999</v>
      </c>
      <c r="K22" s="284">
        <f t="shared" si="8"/>
        <v>0.58333309999999994</v>
      </c>
      <c r="L22" s="284">
        <f>K22+K21</f>
        <v>0.66666639999999999</v>
      </c>
      <c r="M22" s="284">
        <f>L22+M21</f>
        <v>0.74999970000000005</v>
      </c>
      <c r="N22" s="284">
        <f>M22+N21</f>
        <v>0.8333330000000001</v>
      </c>
      <c r="O22" s="284">
        <f>N22+O21</f>
        <v>0.91666630000000016</v>
      </c>
      <c r="P22" s="284">
        <f>O22+P21</f>
        <v>0.99999960000000021</v>
      </c>
      <c r="Q22" s="294"/>
      <c r="S22" s="310"/>
    </row>
    <row r="23" spans="1:19">
      <c r="S23" s="310"/>
    </row>
    <row r="25" spans="1:19">
      <c r="C25" s="310"/>
      <c r="D25" s="310"/>
    </row>
    <row r="26" spans="1:19">
      <c r="E26" s="296"/>
    </row>
  </sheetData>
  <mergeCells count="31">
    <mergeCell ref="Q5:Q6"/>
    <mergeCell ref="A3:B3"/>
    <mergeCell ref="A4:B4"/>
    <mergeCell ref="A7:B7"/>
    <mergeCell ref="C5:P6"/>
    <mergeCell ref="A1:P1"/>
    <mergeCell ref="A5:B6"/>
    <mergeCell ref="A20:B20"/>
    <mergeCell ref="A21:B21"/>
    <mergeCell ref="A22:B22"/>
    <mergeCell ref="K7:L7"/>
    <mergeCell ref="A14:A15"/>
    <mergeCell ref="B14:B15"/>
    <mergeCell ref="C14:C15"/>
    <mergeCell ref="D14:D15"/>
    <mergeCell ref="A10:A11"/>
    <mergeCell ref="B10:B11"/>
    <mergeCell ref="C10:C11"/>
    <mergeCell ref="D10:D11"/>
    <mergeCell ref="A12:A13"/>
    <mergeCell ref="B12:B13"/>
    <mergeCell ref="D18:D19"/>
    <mergeCell ref="C18:C19"/>
    <mergeCell ref="B18:B19"/>
    <mergeCell ref="A18:A19"/>
    <mergeCell ref="C12:C13"/>
    <mergeCell ref="D12:D13"/>
    <mergeCell ref="A16:A17"/>
    <mergeCell ref="B16:B17"/>
    <mergeCell ref="C16:C17"/>
    <mergeCell ref="D16:D17"/>
  </mergeCells>
  <pageMargins left="0.51181102362204722" right="0.51181102362204722" top="0.78740157480314965" bottom="0.78740157480314965" header="0.31496062992125984" footer="0.31496062992125984"/>
  <pageSetup paperSize="9" scale="70"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A1:AE263"/>
  <sheetViews>
    <sheetView topLeftCell="A244" zoomScale="75" zoomScaleNormal="100" zoomScaleSheetLayoutView="75" workbookViewId="0">
      <selection activeCell="A200" sqref="A200"/>
    </sheetView>
  </sheetViews>
  <sheetFormatPr defaultRowHeight="14.4"/>
  <cols>
    <col min="1" max="1" width="5.6640625" customWidth="1"/>
    <col min="2" max="2" width="10.21875" customWidth="1"/>
  </cols>
  <sheetData>
    <row r="1" spans="1:30" s="16" customFormat="1" ht="13.2">
      <c r="A1" s="24"/>
      <c r="B1" s="25"/>
      <c r="C1" s="26"/>
      <c r="D1" s="24"/>
      <c r="E1" s="26"/>
      <c r="F1" s="24"/>
      <c r="G1" s="24"/>
      <c r="H1" s="24"/>
      <c r="I1" s="24"/>
      <c r="J1" s="24"/>
      <c r="K1" s="24"/>
      <c r="L1" s="24"/>
      <c r="M1" s="24"/>
      <c r="N1" s="24"/>
      <c r="O1" s="24"/>
      <c r="P1" s="24"/>
      <c r="Q1" s="24"/>
      <c r="R1" s="27"/>
      <c r="S1" s="24"/>
      <c r="T1" s="15"/>
      <c r="U1" s="15"/>
      <c r="V1" s="15"/>
      <c r="X1" s="17"/>
      <c r="Y1" s="17"/>
      <c r="AD1" s="17"/>
    </row>
    <row r="2" spans="1:30" s="16" customFormat="1" ht="38.25" customHeight="1">
      <c r="A2" s="640" t="s">
        <v>134</v>
      </c>
      <c r="B2" s="641"/>
      <c r="C2" s="641"/>
      <c r="D2" s="641"/>
      <c r="E2" s="641"/>
      <c r="F2" s="641"/>
      <c r="G2" s="641"/>
      <c r="H2" s="641"/>
      <c r="I2" s="641"/>
      <c r="J2" s="641"/>
      <c r="K2" s="641"/>
      <c r="L2" s="641"/>
      <c r="M2" s="641"/>
      <c r="N2" s="641"/>
      <c r="O2" s="641"/>
      <c r="P2" s="641"/>
      <c r="Q2" s="641"/>
      <c r="R2" s="641"/>
      <c r="S2" s="642"/>
      <c r="T2" s="18"/>
      <c r="U2" s="18"/>
      <c r="V2" s="18"/>
      <c r="X2" s="17"/>
      <c r="Y2" s="17"/>
      <c r="AD2" s="17"/>
    </row>
    <row r="3" spans="1:30" ht="15.6">
      <c r="A3" s="523" t="s">
        <v>135</v>
      </c>
      <c r="B3" s="523"/>
      <c r="C3" s="523"/>
      <c r="D3" s="523"/>
      <c r="E3" s="523"/>
      <c r="F3" s="523"/>
      <c r="G3" s="523"/>
      <c r="H3" s="523"/>
      <c r="I3" s="523"/>
      <c r="J3" s="523"/>
      <c r="K3" s="523"/>
      <c r="L3" s="523"/>
      <c r="M3" s="523"/>
      <c r="N3" s="523"/>
      <c r="O3" s="523"/>
      <c r="P3" s="523"/>
      <c r="Q3" s="523"/>
      <c r="R3" s="523"/>
      <c r="S3" s="523"/>
    </row>
    <row r="4" spans="1:30" ht="15.6">
      <c r="A4" s="523" t="s">
        <v>136</v>
      </c>
      <c r="B4" s="523"/>
      <c r="C4" s="523"/>
      <c r="D4" s="523"/>
      <c r="E4" s="523"/>
      <c r="F4" s="523"/>
      <c r="G4" s="523"/>
      <c r="H4" s="523"/>
      <c r="I4" s="523"/>
      <c r="J4" s="523"/>
      <c r="K4" s="523"/>
      <c r="L4" s="523"/>
      <c r="M4" s="523"/>
      <c r="N4" s="523"/>
      <c r="O4" s="523"/>
      <c r="P4" s="523"/>
      <c r="Q4" s="523"/>
      <c r="R4" s="523"/>
      <c r="S4" s="523"/>
    </row>
    <row r="5" spans="1:30" ht="15.6">
      <c r="A5" s="332" t="s">
        <v>137</v>
      </c>
      <c r="B5" s="29"/>
      <c r="C5" s="29"/>
      <c r="D5" s="29"/>
      <c r="E5" s="29"/>
      <c r="F5" s="29"/>
      <c r="G5" s="29"/>
      <c r="H5" s="29"/>
      <c r="I5" s="29"/>
      <c r="J5" s="29"/>
      <c r="K5" s="29"/>
      <c r="L5" s="29"/>
      <c r="M5" s="29"/>
      <c r="N5" s="29"/>
      <c r="O5" s="29"/>
      <c r="P5" s="29"/>
      <c r="Q5" s="29"/>
      <c r="R5" s="29"/>
      <c r="S5" s="29"/>
    </row>
    <row r="6" spans="1:30" ht="15.6">
      <c r="A6" s="332"/>
      <c r="B6" s="29"/>
      <c r="C6" s="29"/>
      <c r="D6" s="29"/>
      <c r="E6" s="29"/>
      <c r="F6" s="29"/>
      <c r="G6" s="29"/>
      <c r="H6" s="29"/>
      <c r="I6" s="29"/>
      <c r="J6" s="29"/>
      <c r="K6" s="29"/>
      <c r="L6" s="29"/>
      <c r="M6" s="29"/>
      <c r="N6" s="29"/>
      <c r="O6" s="29"/>
      <c r="P6" s="29"/>
      <c r="Q6" s="29"/>
      <c r="R6" s="29"/>
      <c r="S6" s="29"/>
    </row>
    <row r="7" spans="1:30" s="16" customFormat="1" ht="37.5" customHeight="1">
      <c r="A7" s="415" t="s">
        <v>644</v>
      </c>
      <c r="B7" s="524" t="str">
        <f>'PLANILHA ORÇAMENTARIA'!C8</f>
        <v>Administração Local</v>
      </c>
      <c r="C7" s="524"/>
      <c r="D7" s="524"/>
      <c r="E7" s="524"/>
      <c r="F7" s="524"/>
      <c r="G7" s="524"/>
      <c r="H7" s="524"/>
      <c r="I7" s="524"/>
      <c r="J7" s="524"/>
      <c r="K7" s="524"/>
      <c r="L7" s="524"/>
      <c r="M7" s="524"/>
      <c r="N7" s="524"/>
      <c r="O7" s="524"/>
      <c r="P7" s="524"/>
      <c r="Q7" s="524"/>
      <c r="R7" s="524"/>
      <c r="S7" s="524"/>
      <c r="T7" s="18"/>
      <c r="U7" s="18"/>
      <c r="V7" s="18"/>
      <c r="X7" s="17"/>
      <c r="Y7" s="17"/>
      <c r="AD7" s="17"/>
    </row>
    <row r="8" spans="1:30" ht="15.6">
      <c r="A8" s="332"/>
      <c r="B8" s="29"/>
      <c r="C8" s="29"/>
      <c r="D8" s="29"/>
      <c r="E8" s="29"/>
      <c r="F8" s="29"/>
      <c r="G8" s="29"/>
      <c r="H8" s="29"/>
      <c r="I8" s="29"/>
      <c r="J8" s="29"/>
      <c r="K8" s="29"/>
      <c r="L8" s="29"/>
      <c r="M8" s="29"/>
      <c r="N8" s="29"/>
      <c r="O8" s="29"/>
      <c r="P8" s="29"/>
      <c r="Q8" s="29"/>
      <c r="R8" s="29"/>
      <c r="S8" s="29"/>
    </row>
    <row r="9" spans="1:30" s="16" customFormat="1" ht="16.5" customHeight="1">
      <c r="A9" s="525" t="s">
        <v>541</v>
      </c>
      <c r="B9" s="525"/>
      <c r="C9" s="525"/>
      <c r="D9" s="525"/>
      <c r="E9" s="525"/>
      <c r="F9" s="525"/>
      <c r="G9" s="525"/>
      <c r="H9" s="525"/>
      <c r="I9" s="525"/>
      <c r="J9" s="525"/>
      <c r="K9" s="525"/>
      <c r="L9" s="525"/>
      <c r="M9" s="525"/>
      <c r="N9" s="525"/>
      <c r="O9" s="525"/>
      <c r="P9" s="525"/>
      <c r="Q9" s="525"/>
      <c r="R9" s="525"/>
      <c r="S9" s="525"/>
      <c r="T9" s="18"/>
      <c r="U9" s="18"/>
      <c r="V9" s="18"/>
      <c r="X9" s="17"/>
      <c r="Y9" s="17"/>
      <c r="AD9" s="17"/>
    </row>
    <row r="10" spans="1:30" s="16" customFormat="1" ht="16.5" customHeight="1">
      <c r="A10" s="376" t="s">
        <v>545</v>
      </c>
      <c r="B10" s="526" t="s">
        <v>544</v>
      </c>
      <c r="C10" s="527"/>
      <c r="D10" s="527"/>
      <c r="E10" s="527"/>
      <c r="F10" s="527"/>
      <c r="G10" s="527"/>
      <c r="H10" s="527"/>
      <c r="I10" s="527"/>
      <c r="J10" s="527"/>
      <c r="K10" s="527"/>
      <c r="L10" s="527"/>
      <c r="M10" s="527"/>
      <c r="N10" s="528"/>
      <c r="O10" s="529" t="s">
        <v>543</v>
      </c>
      <c r="P10" s="530"/>
      <c r="Q10" s="531"/>
      <c r="R10" s="532" t="s">
        <v>542</v>
      </c>
      <c r="S10" s="532"/>
      <c r="T10" s="18"/>
      <c r="U10" s="18"/>
      <c r="V10" s="18"/>
    </row>
    <row r="11" spans="1:30" s="16" customFormat="1" ht="13.8">
      <c r="A11" s="378" t="s">
        <v>546</v>
      </c>
      <c r="B11" s="509" t="s">
        <v>547</v>
      </c>
      <c r="C11" s="510"/>
      <c r="D11" s="510"/>
      <c r="E11" s="510"/>
      <c r="F11" s="510"/>
      <c r="G11" s="510"/>
      <c r="H11" s="510"/>
      <c r="I11" s="510"/>
      <c r="J11" s="510"/>
      <c r="K11" s="510"/>
      <c r="L11" s="510"/>
      <c r="M11" s="510"/>
      <c r="N11" s="511"/>
      <c r="O11" s="512">
        <f>SUM(O12:Q20)</f>
        <v>50803.844117599998</v>
      </c>
      <c r="P11" s="513"/>
      <c r="Q11" s="514"/>
      <c r="R11" s="515">
        <f>O11/$O$24</f>
        <v>0.70725418842978083</v>
      </c>
      <c r="S11" s="515"/>
      <c r="T11" s="18"/>
      <c r="U11" s="18"/>
      <c r="V11" s="18"/>
    </row>
    <row r="12" spans="1:30" s="16" customFormat="1" ht="16.5" customHeight="1">
      <c r="A12" s="377" t="s">
        <v>548</v>
      </c>
      <c r="B12" s="516" t="str">
        <f>'MÃO DE OBRA'!B31</f>
        <v>Gerente Geral</v>
      </c>
      <c r="C12" s="517"/>
      <c r="D12" s="517"/>
      <c r="E12" s="517"/>
      <c r="F12" s="517"/>
      <c r="G12" s="517"/>
      <c r="H12" s="517"/>
      <c r="I12" s="517"/>
      <c r="J12" s="517"/>
      <c r="K12" s="517"/>
      <c r="L12" s="517"/>
      <c r="M12" s="517"/>
      <c r="N12" s="518"/>
      <c r="O12" s="519">
        <f>R55</f>
        <v>9948.2349999999988</v>
      </c>
      <c r="P12" s="520"/>
      <c r="Q12" s="521"/>
      <c r="R12" s="522"/>
      <c r="S12" s="522"/>
      <c r="T12" s="18"/>
      <c r="U12" s="18"/>
      <c r="V12" s="18"/>
    </row>
    <row r="13" spans="1:30" s="16" customFormat="1" ht="16.5" customHeight="1">
      <c r="A13" s="377" t="s">
        <v>549</v>
      </c>
      <c r="B13" s="516" t="str">
        <f>'MÃO DE OBRA'!B32</f>
        <v>Encarregado Operacional Geral</v>
      </c>
      <c r="C13" s="517"/>
      <c r="D13" s="517"/>
      <c r="E13" s="517"/>
      <c r="F13" s="517"/>
      <c r="G13" s="517"/>
      <c r="H13" s="517"/>
      <c r="I13" s="517"/>
      <c r="J13" s="517"/>
      <c r="K13" s="517"/>
      <c r="L13" s="517"/>
      <c r="M13" s="517"/>
      <c r="N13" s="518"/>
      <c r="O13" s="519">
        <f>R70</f>
        <v>6241.1262000000006</v>
      </c>
      <c r="P13" s="520"/>
      <c r="Q13" s="521"/>
      <c r="R13" s="522"/>
      <c r="S13" s="522"/>
      <c r="T13" s="18"/>
      <c r="U13" s="18"/>
      <c r="V13" s="18"/>
    </row>
    <row r="14" spans="1:30" s="16" customFormat="1" ht="16.5" customHeight="1">
      <c r="A14" s="377" t="s">
        <v>550</v>
      </c>
      <c r="B14" s="516" t="str">
        <f>'MÃO DE OBRA'!B33</f>
        <v>Tec. Seg. Trabalho</v>
      </c>
      <c r="C14" s="517"/>
      <c r="D14" s="517"/>
      <c r="E14" s="517"/>
      <c r="F14" s="517"/>
      <c r="G14" s="517"/>
      <c r="H14" s="517"/>
      <c r="I14" s="517"/>
      <c r="J14" s="517"/>
      <c r="K14" s="517"/>
      <c r="L14" s="517"/>
      <c r="M14" s="517"/>
      <c r="N14" s="518"/>
      <c r="O14" s="519">
        <f>R86</f>
        <v>4433.9718000000003</v>
      </c>
      <c r="P14" s="520"/>
      <c r="Q14" s="521"/>
      <c r="R14" s="522"/>
      <c r="S14" s="522"/>
      <c r="T14" s="18"/>
      <c r="U14" s="18"/>
      <c r="V14" s="18"/>
    </row>
    <row r="15" spans="1:30" s="16" customFormat="1" ht="16.5" customHeight="1">
      <c r="A15" s="377" t="s">
        <v>551</v>
      </c>
      <c r="B15" s="516" t="str">
        <f>'MÃO DE OBRA'!B34</f>
        <v>Auxiliar  Administrativo</v>
      </c>
      <c r="C15" s="517"/>
      <c r="D15" s="517"/>
      <c r="E15" s="517"/>
      <c r="F15" s="517"/>
      <c r="G15" s="517"/>
      <c r="H15" s="517"/>
      <c r="I15" s="517"/>
      <c r="J15" s="517"/>
      <c r="K15" s="517"/>
      <c r="L15" s="517"/>
      <c r="M15" s="517"/>
      <c r="N15" s="518"/>
      <c r="O15" s="519">
        <f>R102</f>
        <v>7074.3892000000005</v>
      </c>
      <c r="P15" s="520"/>
      <c r="Q15" s="521"/>
      <c r="R15" s="522"/>
      <c r="S15" s="522"/>
      <c r="T15" s="18"/>
      <c r="U15" s="18"/>
      <c r="V15" s="18"/>
    </row>
    <row r="16" spans="1:30" s="16" customFormat="1" ht="16.5" customHeight="1">
      <c r="A16" s="377" t="s">
        <v>557</v>
      </c>
      <c r="B16" s="516" t="str">
        <f>'MÃO DE OBRA'!B35</f>
        <v>Auxiliar de Serviços Gerais</v>
      </c>
      <c r="C16" s="517"/>
      <c r="D16" s="517"/>
      <c r="E16" s="517"/>
      <c r="F16" s="517"/>
      <c r="G16" s="517"/>
      <c r="H16" s="517"/>
      <c r="I16" s="517"/>
      <c r="J16" s="517"/>
      <c r="K16" s="517"/>
      <c r="L16" s="517"/>
      <c r="M16" s="517"/>
      <c r="N16" s="518"/>
      <c r="O16" s="519">
        <f>R118</f>
        <v>2721.127348</v>
      </c>
      <c r="P16" s="520"/>
      <c r="Q16" s="521"/>
      <c r="R16" s="522"/>
      <c r="S16" s="522"/>
      <c r="T16" s="18"/>
      <c r="U16" s="18"/>
      <c r="V16" s="18"/>
    </row>
    <row r="17" spans="1:30" s="16" customFormat="1" ht="16.5" customHeight="1">
      <c r="A17" s="377" t="s">
        <v>563</v>
      </c>
      <c r="B17" s="516" t="str">
        <f>'MÃO DE OBRA'!B36</f>
        <v>Mecânico</v>
      </c>
      <c r="C17" s="517"/>
      <c r="D17" s="517"/>
      <c r="E17" s="517"/>
      <c r="F17" s="517"/>
      <c r="G17" s="517"/>
      <c r="H17" s="517"/>
      <c r="I17" s="517"/>
      <c r="J17" s="517"/>
      <c r="K17" s="517"/>
      <c r="L17" s="517"/>
      <c r="M17" s="517"/>
      <c r="N17" s="518"/>
      <c r="O17" s="519">
        <f>R135</f>
        <v>6219.6247392000005</v>
      </c>
      <c r="P17" s="520"/>
      <c r="Q17" s="521"/>
      <c r="R17" s="522"/>
      <c r="S17" s="522"/>
      <c r="T17" s="18"/>
      <c r="U17" s="18"/>
      <c r="V17" s="18"/>
    </row>
    <row r="18" spans="1:30" s="16" customFormat="1" ht="16.5" customHeight="1">
      <c r="A18" s="377" t="s">
        <v>645</v>
      </c>
      <c r="B18" s="516" t="str">
        <f>'MÃO DE OBRA'!B37</f>
        <v>Almoxarife</v>
      </c>
      <c r="C18" s="517"/>
      <c r="D18" s="517"/>
      <c r="E18" s="517"/>
      <c r="F18" s="517"/>
      <c r="G18" s="517"/>
      <c r="H18" s="517"/>
      <c r="I18" s="517"/>
      <c r="J18" s="517"/>
      <c r="K18" s="517"/>
      <c r="L18" s="517"/>
      <c r="M18" s="517"/>
      <c r="N18" s="518"/>
      <c r="O18" s="519">
        <f>R152</f>
        <v>3594.5585792000002</v>
      </c>
      <c r="P18" s="520"/>
      <c r="Q18" s="521"/>
      <c r="R18" s="522"/>
      <c r="S18" s="522"/>
      <c r="T18" s="18"/>
      <c r="U18" s="18"/>
      <c r="V18" s="18"/>
    </row>
    <row r="19" spans="1:30" s="16" customFormat="1" ht="16.5" customHeight="1">
      <c r="A19" s="377" t="s">
        <v>646</v>
      </c>
      <c r="B19" s="516" t="str">
        <f>'MÃO DE OBRA'!B38</f>
        <v xml:space="preserve">Lavador / Lubrificador </v>
      </c>
      <c r="C19" s="517"/>
      <c r="D19" s="517"/>
      <c r="E19" s="517"/>
      <c r="F19" s="517"/>
      <c r="G19" s="517"/>
      <c r="H19" s="517"/>
      <c r="I19" s="517"/>
      <c r="J19" s="517"/>
      <c r="K19" s="517"/>
      <c r="L19" s="517"/>
      <c r="M19" s="517"/>
      <c r="N19" s="518"/>
      <c r="O19" s="519">
        <f>R169</f>
        <v>3682.8485792000001</v>
      </c>
      <c r="P19" s="520"/>
      <c r="Q19" s="521"/>
      <c r="R19" s="522"/>
      <c r="S19" s="522"/>
      <c r="T19" s="18"/>
      <c r="U19" s="18"/>
      <c r="V19" s="18"/>
    </row>
    <row r="20" spans="1:30" s="16" customFormat="1" ht="16.5" customHeight="1">
      <c r="A20" s="377" t="s">
        <v>647</v>
      </c>
      <c r="B20" s="516" t="str">
        <f>'MÃO DE OBRA'!B39</f>
        <v>Vigia Noturno</v>
      </c>
      <c r="C20" s="517"/>
      <c r="D20" s="517"/>
      <c r="E20" s="517"/>
      <c r="F20" s="517"/>
      <c r="G20" s="517"/>
      <c r="H20" s="517"/>
      <c r="I20" s="517"/>
      <c r="J20" s="517"/>
      <c r="K20" s="517"/>
      <c r="L20" s="517"/>
      <c r="M20" s="517"/>
      <c r="N20" s="518"/>
      <c r="O20" s="519">
        <f>R186</f>
        <v>6887.9626720000006</v>
      </c>
      <c r="P20" s="520"/>
      <c r="Q20" s="521"/>
      <c r="R20" s="522"/>
      <c r="S20" s="522"/>
      <c r="T20" s="18"/>
      <c r="U20" s="18"/>
      <c r="V20" s="18"/>
    </row>
    <row r="21" spans="1:30" s="16" customFormat="1" ht="16.5" customHeight="1">
      <c r="A21" s="378" t="s">
        <v>552</v>
      </c>
      <c r="B21" s="546" t="str">
        <f>A225</f>
        <v>Custo de Veículo de Fiscalização</v>
      </c>
      <c r="C21" s="547"/>
      <c r="D21" s="547"/>
      <c r="E21" s="547"/>
      <c r="F21" s="547"/>
      <c r="G21" s="547"/>
      <c r="H21" s="547"/>
      <c r="I21" s="547"/>
      <c r="J21" s="547"/>
      <c r="K21" s="547"/>
      <c r="L21" s="547"/>
      <c r="M21" s="547"/>
      <c r="N21" s="548"/>
      <c r="O21" s="512">
        <f>H230</f>
        <v>4701</v>
      </c>
      <c r="P21" s="513"/>
      <c r="Q21" s="514"/>
      <c r="R21" s="515">
        <f>O21/$O$24</f>
        <v>6.5443904837440975E-2</v>
      </c>
      <c r="S21" s="515"/>
      <c r="T21" s="18"/>
      <c r="U21" s="18"/>
      <c r="V21" s="18"/>
    </row>
    <row r="22" spans="1:30" s="16" customFormat="1" ht="16.5" customHeight="1">
      <c r="A22" s="378" t="s">
        <v>553</v>
      </c>
      <c r="B22" s="546" t="str">
        <f>A232</f>
        <v>Custo com Instalações e Materiais diversos</v>
      </c>
      <c r="C22" s="547"/>
      <c r="D22" s="547"/>
      <c r="E22" s="547"/>
      <c r="F22" s="547"/>
      <c r="G22" s="547"/>
      <c r="H22" s="547"/>
      <c r="I22" s="547"/>
      <c r="J22" s="547"/>
      <c r="K22" s="547"/>
      <c r="L22" s="547"/>
      <c r="M22" s="547"/>
      <c r="N22" s="548"/>
      <c r="O22" s="512">
        <f>J252</f>
        <v>12076.666666666666</v>
      </c>
      <c r="P22" s="513"/>
      <c r="Q22" s="514"/>
      <c r="R22" s="515">
        <f>O22/$O$24</f>
        <v>0.16812257478979553</v>
      </c>
      <c r="S22" s="515"/>
      <c r="T22" s="18"/>
      <c r="U22" s="18"/>
      <c r="V22" s="18"/>
    </row>
    <row r="23" spans="1:30" s="16" customFormat="1" ht="16.5" customHeight="1">
      <c r="A23" s="378" t="s">
        <v>644</v>
      </c>
      <c r="B23" s="546" t="str">
        <f>A254</f>
        <v>CUSTO COM CAFÉ DA MANHÃ DOS FUNCIONARIOS</v>
      </c>
      <c r="C23" s="547"/>
      <c r="D23" s="547"/>
      <c r="E23" s="547"/>
      <c r="F23" s="547"/>
      <c r="G23" s="547"/>
      <c r="H23" s="547"/>
      <c r="I23" s="547"/>
      <c r="J23" s="547"/>
      <c r="K23" s="547"/>
      <c r="L23" s="547"/>
      <c r="M23" s="547"/>
      <c r="N23" s="548"/>
      <c r="O23" s="512">
        <f>H257</f>
        <v>4251</v>
      </c>
      <c r="P23" s="513"/>
      <c r="Q23" s="514"/>
      <c r="R23" s="515">
        <f>O23/$O$24</f>
        <v>5.917933194298268E-2</v>
      </c>
      <c r="S23" s="515"/>
      <c r="T23" s="18"/>
      <c r="U23" s="18"/>
      <c r="V23" s="18"/>
    </row>
    <row r="24" spans="1:30" s="16" customFormat="1" ht="18">
      <c r="A24" s="533" t="s">
        <v>626</v>
      </c>
      <c r="B24" s="533"/>
      <c r="C24" s="533"/>
      <c r="D24" s="533"/>
      <c r="E24" s="533"/>
      <c r="F24" s="533"/>
      <c r="G24" s="533"/>
      <c r="H24" s="533"/>
      <c r="I24" s="533"/>
      <c r="J24" s="533"/>
      <c r="K24" s="533"/>
      <c r="L24" s="533"/>
      <c r="M24" s="533"/>
      <c r="N24" s="534"/>
      <c r="O24" s="535">
        <f>O11+O21+O22+O23</f>
        <v>71832.510784266662</v>
      </c>
      <c r="P24" s="536"/>
      <c r="Q24" s="537"/>
      <c r="R24" s="538">
        <v>1</v>
      </c>
      <c r="S24" s="538"/>
      <c r="T24" s="18"/>
      <c r="U24" s="18"/>
      <c r="V24" s="18"/>
    </row>
    <row r="25" spans="1:30" s="16" customFormat="1" ht="10.5" customHeight="1">
      <c r="A25" s="383"/>
      <c r="B25" s="386"/>
      <c r="C25" s="386"/>
      <c r="D25" s="386"/>
      <c r="E25" s="386"/>
      <c r="F25" s="386"/>
      <c r="G25" s="386"/>
      <c r="H25" s="386"/>
      <c r="I25" s="386"/>
      <c r="J25" s="386"/>
      <c r="K25" s="386"/>
      <c r="L25" s="386"/>
      <c r="M25" s="386"/>
      <c r="N25" s="386"/>
      <c r="O25" s="386"/>
      <c r="P25" s="333"/>
      <c r="Q25" s="333"/>
      <c r="R25" s="385"/>
      <c r="S25" s="385"/>
      <c r="T25" s="18"/>
      <c r="U25" s="18"/>
      <c r="V25" s="18"/>
    </row>
    <row r="26" spans="1:30" s="16" customFormat="1" ht="16.5" customHeight="1">
      <c r="A26" s="525" t="s">
        <v>556</v>
      </c>
      <c r="B26" s="525"/>
      <c r="C26" s="525"/>
      <c r="D26" s="525"/>
      <c r="E26" s="525"/>
      <c r="F26" s="525"/>
      <c r="G26" s="525"/>
      <c r="H26" s="525"/>
      <c r="I26" s="525"/>
      <c r="J26" s="525"/>
      <c r="K26" s="525"/>
      <c r="L26" s="525"/>
      <c r="M26" s="525"/>
      <c r="N26" s="525"/>
      <c r="O26" s="525"/>
      <c r="P26" s="525"/>
      <c r="Q26" s="525"/>
      <c r="R26" s="525"/>
      <c r="S26" s="525"/>
      <c r="T26" s="18"/>
      <c r="U26" s="18"/>
      <c r="V26" s="18"/>
      <c r="X26" s="17"/>
      <c r="Y26" s="17"/>
      <c r="AD26" s="17"/>
    </row>
    <row r="27" spans="1:30" s="16" customFormat="1" ht="13.8">
      <c r="A27" s="539" t="s">
        <v>547</v>
      </c>
      <c r="B27" s="540"/>
      <c r="C27" s="540"/>
      <c r="D27" s="540"/>
      <c r="E27" s="540"/>
      <c r="F27" s="540"/>
      <c r="G27" s="540"/>
      <c r="H27" s="540"/>
      <c r="I27" s="540"/>
      <c r="J27" s="540"/>
      <c r="K27" s="540"/>
      <c r="L27" s="540"/>
      <c r="M27" s="540"/>
      <c r="N27" s="540"/>
      <c r="O27" s="540"/>
      <c r="P27" s="540"/>
      <c r="Q27" s="541"/>
      <c r="R27" s="542" t="s">
        <v>36</v>
      </c>
      <c r="S27" s="543"/>
      <c r="T27" s="18"/>
      <c r="U27" s="18"/>
      <c r="V27" s="18"/>
    </row>
    <row r="28" spans="1:30" s="16" customFormat="1" ht="13.8">
      <c r="A28" s="377" t="str">
        <f t="shared" ref="A28:B36" si="0">A12</f>
        <v>1.1</v>
      </c>
      <c r="B28" s="516" t="str">
        <f t="shared" si="0"/>
        <v>Gerente Geral</v>
      </c>
      <c r="C28" s="517"/>
      <c r="D28" s="517"/>
      <c r="E28" s="517"/>
      <c r="F28" s="517"/>
      <c r="G28" s="517"/>
      <c r="H28" s="517"/>
      <c r="I28" s="517"/>
      <c r="J28" s="517"/>
      <c r="K28" s="517"/>
      <c r="L28" s="517"/>
      <c r="M28" s="517"/>
      <c r="N28" s="517"/>
      <c r="O28" s="517"/>
      <c r="P28" s="517"/>
      <c r="Q28" s="518"/>
      <c r="R28" s="544">
        <f>'MÃO DE OBRA'!C31</f>
        <v>1</v>
      </c>
      <c r="S28" s="545"/>
      <c r="T28" s="18"/>
      <c r="U28" s="18"/>
      <c r="V28" s="18"/>
    </row>
    <row r="29" spans="1:30" s="16" customFormat="1" ht="16.5" customHeight="1">
      <c r="A29" s="377" t="str">
        <f t="shared" si="0"/>
        <v>1.2</v>
      </c>
      <c r="B29" s="516" t="str">
        <f t="shared" si="0"/>
        <v>Encarregado Operacional Geral</v>
      </c>
      <c r="C29" s="517"/>
      <c r="D29" s="517"/>
      <c r="E29" s="517"/>
      <c r="F29" s="517"/>
      <c r="G29" s="517"/>
      <c r="H29" s="517"/>
      <c r="I29" s="517"/>
      <c r="J29" s="517"/>
      <c r="K29" s="517"/>
      <c r="L29" s="517"/>
      <c r="M29" s="517"/>
      <c r="N29" s="517"/>
      <c r="O29" s="517"/>
      <c r="P29" s="517"/>
      <c r="Q29" s="518"/>
      <c r="R29" s="544">
        <f>'MÃO DE OBRA'!C32</f>
        <v>1</v>
      </c>
      <c r="S29" s="545"/>
      <c r="T29" s="18"/>
      <c r="U29" s="18"/>
      <c r="V29" s="18"/>
    </row>
    <row r="30" spans="1:30" s="16" customFormat="1" ht="16.5" customHeight="1">
      <c r="A30" s="377" t="str">
        <f t="shared" si="0"/>
        <v>1.3</v>
      </c>
      <c r="B30" s="516" t="str">
        <f t="shared" si="0"/>
        <v>Tec. Seg. Trabalho</v>
      </c>
      <c r="C30" s="517"/>
      <c r="D30" s="517"/>
      <c r="E30" s="517"/>
      <c r="F30" s="517"/>
      <c r="G30" s="517"/>
      <c r="H30" s="517"/>
      <c r="I30" s="517"/>
      <c r="J30" s="517"/>
      <c r="K30" s="517"/>
      <c r="L30" s="517"/>
      <c r="M30" s="517"/>
      <c r="N30" s="517"/>
      <c r="O30" s="517"/>
      <c r="P30" s="517"/>
      <c r="Q30" s="518"/>
      <c r="R30" s="544">
        <f>'MÃO DE OBRA'!C33</f>
        <v>1</v>
      </c>
      <c r="S30" s="545"/>
      <c r="T30" s="18"/>
      <c r="U30" s="18"/>
      <c r="V30" s="18"/>
    </row>
    <row r="31" spans="1:30" s="16" customFormat="1" ht="16.5" customHeight="1">
      <c r="A31" s="377" t="str">
        <f t="shared" si="0"/>
        <v>1.4</v>
      </c>
      <c r="B31" s="516" t="str">
        <f t="shared" si="0"/>
        <v>Auxiliar  Administrativo</v>
      </c>
      <c r="C31" s="517"/>
      <c r="D31" s="517"/>
      <c r="E31" s="517"/>
      <c r="F31" s="517"/>
      <c r="G31" s="517"/>
      <c r="H31" s="517"/>
      <c r="I31" s="517"/>
      <c r="J31" s="517"/>
      <c r="K31" s="517"/>
      <c r="L31" s="517"/>
      <c r="M31" s="517"/>
      <c r="N31" s="517"/>
      <c r="O31" s="517"/>
      <c r="P31" s="517"/>
      <c r="Q31" s="518"/>
      <c r="R31" s="544">
        <f>'MÃO DE OBRA'!C34</f>
        <v>2</v>
      </c>
      <c r="S31" s="545"/>
      <c r="T31" s="18"/>
      <c r="U31" s="18"/>
      <c r="V31" s="18"/>
    </row>
    <row r="32" spans="1:30" s="16" customFormat="1" ht="16.5" customHeight="1">
      <c r="A32" s="377" t="str">
        <f t="shared" si="0"/>
        <v>1.5</v>
      </c>
      <c r="B32" s="516" t="str">
        <f t="shared" si="0"/>
        <v>Auxiliar de Serviços Gerais</v>
      </c>
      <c r="C32" s="517"/>
      <c r="D32" s="517"/>
      <c r="E32" s="517"/>
      <c r="F32" s="517"/>
      <c r="G32" s="517"/>
      <c r="H32" s="517"/>
      <c r="I32" s="517"/>
      <c r="J32" s="517"/>
      <c r="K32" s="517"/>
      <c r="L32" s="517"/>
      <c r="M32" s="517"/>
      <c r="N32" s="517"/>
      <c r="O32" s="517"/>
      <c r="P32" s="517"/>
      <c r="Q32" s="518"/>
      <c r="R32" s="544">
        <f>'MÃO DE OBRA'!C35</f>
        <v>1</v>
      </c>
      <c r="S32" s="545"/>
      <c r="T32" s="18"/>
      <c r="U32" s="18"/>
      <c r="V32" s="18"/>
    </row>
    <row r="33" spans="1:30" s="16" customFormat="1" ht="16.5" customHeight="1">
      <c r="A33" s="377" t="str">
        <f t="shared" si="0"/>
        <v>1.6</v>
      </c>
      <c r="B33" s="516" t="str">
        <f t="shared" si="0"/>
        <v>Mecânico</v>
      </c>
      <c r="C33" s="517"/>
      <c r="D33" s="517"/>
      <c r="E33" s="517"/>
      <c r="F33" s="517"/>
      <c r="G33" s="517"/>
      <c r="H33" s="517"/>
      <c r="I33" s="517"/>
      <c r="J33" s="517"/>
      <c r="K33" s="517"/>
      <c r="L33" s="517"/>
      <c r="M33" s="517"/>
      <c r="N33" s="517"/>
      <c r="O33" s="517"/>
      <c r="P33" s="517"/>
      <c r="Q33" s="518"/>
      <c r="R33" s="544">
        <f>'MÃO DE OBRA'!C36</f>
        <v>1</v>
      </c>
      <c r="S33" s="545"/>
      <c r="T33" s="18"/>
      <c r="U33" s="18"/>
      <c r="V33" s="18"/>
    </row>
    <row r="34" spans="1:30" s="16" customFormat="1" ht="16.5" customHeight="1">
      <c r="A34" s="377" t="str">
        <f t="shared" si="0"/>
        <v>1.7</v>
      </c>
      <c r="B34" s="516" t="str">
        <f t="shared" si="0"/>
        <v>Almoxarife</v>
      </c>
      <c r="C34" s="517"/>
      <c r="D34" s="517"/>
      <c r="E34" s="517"/>
      <c r="F34" s="517"/>
      <c r="G34" s="517"/>
      <c r="H34" s="517"/>
      <c r="I34" s="517"/>
      <c r="J34" s="517"/>
      <c r="K34" s="517"/>
      <c r="L34" s="517"/>
      <c r="M34" s="517"/>
      <c r="N34" s="517"/>
      <c r="O34" s="517"/>
      <c r="P34" s="517"/>
      <c r="Q34" s="518"/>
      <c r="R34" s="544">
        <f>'MÃO DE OBRA'!C37</f>
        <v>1</v>
      </c>
      <c r="S34" s="545"/>
      <c r="T34" s="18"/>
      <c r="U34" s="18"/>
      <c r="V34" s="18"/>
    </row>
    <row r="35" spans="1:30" s="16" customFormat="1" ht="16.5" customHeight="1">
      <c r="A35" s="377" t="str">
        <f t="shared" si="0"/>
        <v>1.8</v>
      </c>
      <c r="B35" s="516" t="str">
        <f t="shared" si="0"/>
        <v xml:space="preserve">Lavador / Lubrificador </v>
      </c>
      <c r="C35" s="517"/>
      <c r="D35" s="517"/>
      <c r="E35" s="517"/>
      <c r="F35" s="517"/>
      <c r="G35" s="517"/>
      <c r="H35" s="517"/>
      <c r="I35" s="517"/>
      <c r="J35" s="517"/>
      <c r="K35" s="517"/>
      <c r="L35" s="517"/>
      <c r="M35" s="517"/>
      <c r="N35" s="517"/>
      <c r="O35" s="517"/>
      <c r="P35" s="517"/>
      <c r="Q35" s="518"/>
      <c r="R35" s="544">
        <f>'MÃO DE OBRA'!C38</f>
        <v>1</v>
      </c>
      <c r="S35" s="545"/>
      <c r="T35" s="18"/>
      <c r="U35" s="18"/>
      <c r="V35" s="18"/>
    </row>
    <row r="36" spans="1:30" s="16" customFormat="1" ht="16.5" customHeight="1">
      <c r="A36" s="377" t="str">
        <f t="shared" si="0"/>
        <v>1.9</v>
      </c>
      <c r="B36" s="516" t="str">
        <f t="shared" si="0"/>
        <v>Vigia Noturno</v>
      </c>
      <c r="C36" s="517"/>
      <c r="D36" s="517"/>
      <c r="E36" s="517"/>
      <c r="F36" s="517"/>
      <c r="G36" s="517"/>
      <c r="H36" s="517"/>
      <c r="I36" s="517"/>
      <c r="J36" s="517"/>
      <c r="K36" s="517"/>
      <c r="L36" s="517"/>
      <c r="M36" s="517"/>
      <c r="N36" s="517"/>
      <c r="O36" s="517"/>
      <c r="P36" s="517"/>
      <c r="Q36" s="518"/>
      <c r="R36" s="544">
        <f>'MÃO DE OBRA'!C39</f>
        <v>2</v>
      </c>
      <c r="S36" s="545"/>
      <c r="T36" s="18"/>
      <c r="U36" s="18"/>
      <c r="V36" s="18"/>
    </row>
    <row r="37" spans="1:30" s="16" customFormat="1" ht="13.8">
      <c r="A37" s="539" t="s">
        <v>558</v>
      </c>
      <c r="B37" s="540"/>
      <c r="C37" s="540"/>
      <c r="D37" s="540"/>
      <c r="E37" s="540"/>
      <c r="F37" s="540"/>
      <c r="G37" s="540"/>
      <c r="H37" s="540"/>
      <c r="I37" s="540"/>
      <c r="J37" s="540"/>
      <c r="K37" s="540"/>
      <c r="L37" s="540"/>
      <c r="M37" s="540"/>
      <c r="N37" s="540"/>
      <c r="O37" s="540"/>
      <c r="P37" s="540"/>
      <c r="Q37" s="541"/>
      <c r="R37" s="542">
        <f>SUM(R28:S36)</f>
        <v>11</v>
      </c>
      <c r="S37" s="543"/>
      <c r="T37" s="18"/>
      <c r="U37" s="18"/>
      <c r="V37" s="18"/>
    </row>
    <row r="38" spans="1:30" s="16" customFormat="1" ht="11.25" customHeight="1">
      <c r="A38" s="387"/>
      <c r="B38" s="387"/>
      <c r="C38" s="387"/>
      <c r="D38" s="387"/>
      <c r="E38" s="387"/>
      <c r="F38" s="387"/>
      <c r="G38" s="387"/>
      <c r="H38" s="387"/>
      <c r="I38" s="387"/>
      <c r="J38" s="387"/>
      <c r="K38" s="387"/>
      <c r="L38" s="387"/>
      <c r="M38" s="387"/>
      <c r="N38" s="387"/>
      <c r="O38" s="387"/>
      <c r="P38" s="387"/>
      <c r="Q38" s="387"/>
      <c r="R38" s="388"/>
      <c r="S38" s="388"/>
      <c r="T38" s="18"/>
      <c r="U38" s="18"/>
      <c r="V38" s="18"/>
    </row>
    <row r="39" spans="1:30" s="16" customFormat="1" ht="16.5" customHeight="1">
      <c r="A39" s="553" t="s">
        <v>589</v>
      </c>
      <c r="B39" s="553"/>
      <c r="C39" s="553"/>
      <c r="D39" s="553"/>
      <c r="E39" s="553"/>
      <c r="F39" s="553"/>
      <c r="G39" s="553"/>
      <c r="H39" s="553"/>
      <c r="I39" s="553"/>
      <c r="J39" s="553"/>
      <c r="K39" s="553"/>
      <c r="L39" s="553"/>
      <c r="M39" s="553"/>
      <c r="N39" s="553"/>
      <c r="O39" s="553"/>
      <c r="P39" s="553"/>
      <c r="Q39" s="553"/>
      <c r="R39" s="553"/>
      <c r="S39" s="553"/>
      <c r="T39" s="18"/>
      <c r="U39" s="18"/>
      <c r="V39" s="18"/>
      <c r="X39" s="17"/>
      <c r="Y39" s="17"/>
      <c r="AD39" s="17"/>
    </row>
    <row r="40" spans="1:30" s="16" customFormat="1" ht="15.6">
      <c r="A40" s="389" t="s">
        <v>546</v>
      </c>
      <c r="B40" s="390" t="s">
        <v>547</v>
      </c>
      <c r="C40" s="31"/>
      <c r="D40" s="31"/>
      <c r="E40" s="31"/>
      <c r="F40" s="31"/>
      <c r="G40" s="39"/>
      <c r="H40" s="19"/>
      <c r="I40" s="42"/>
      <c r="J40" s="19"/>
      <c r="K40" s="19"/>
      <c r="L40" s="19"/>
      <c r="M40" s="19"/>
      <c r="N40" s="19"/>
      <c r="O40" s="19"/>
      <c r="P40" s="19"/>
      <c r="Q40" s="19"/>
      <c r="R40" s="20"/>
      <c r="S40" s="19"/>
      <c r="T40" s="18"/>
      <c r="U40" s="18"/>
      <c r="V40" s="18"/>
    </row>
    <row r="41" spans="1:30" s="16" customFormat="1" ht="15.6">
      <c r="A41" s="400" t="str">
        <f>A28</f>
        <v>1.1</v>
      </c>
      <c r="B41" s="390" t="str">
        <f>B28</f>
        <v>Gerente Geral</v>
      </c>
      <c r="C41" s="31"/>
      <c r="D41" s="31"/>
      <c r="E41" s="31"/>
      <c r="F41" s="31"/>
      <c r="G41" s="39"/>
      <c r="H41" s="19"/>
      <c r="I41" s="42"/>
      <c r="J41" s="19"/>
      <c r="K41" s="19"/>
      <c r="L41" s="19"/>
      <c r="M41" s="19"/>
      <c r="N41" s="19"/>
      <c r="O41" s="19"/>
      <c r="P41" s="19"/>
      <c r="Q41" s="19"/>
      <c r="R41" s="20"/>
      <c r="S41" s="19"/>
      <c r="T41" s="18"/>
      <c r="U41" s="18"/>
      <c r="V41" s="18"/>
    </row>
    <row r="42" spans="1:30" s="16" customFormat="1" ht="15.75" customHeight="1">
      <c r="A42" s="554" t="s">
        <v>569</v>
      </c>
      <c r="B42" s="554"/>
      <c r="C42" s="554"/>
      <c r="D42" s="554"/>
      <c r="E42" s="554"/>
      <c r="F42" s="554"/>
      <c r="G42" s="554"/>
      <c r="H42" s="554"/>
      <c r="I42" s="554"/>
      <c r="J42" s="555" t="s">
        <v>24</v>
      </c>
      <c r="K42" s="555"/>
      <c r="L42" s="555" t="s">
        <v>36</v>
      </c>
      <c r="M42" s="555"/>
      <c r="N42" s="555" t="s">
        <v>570</v>
      </c>
      <c r="O42" s="555"/>
      <c r="P42" s="555" t="s">
        <v>571</v>
      </c>
      <c r="Q42" s="555"/>
      <c r="R42" s="555" t="s">
        <v>572</v>
      </c>
      <c r="S42" s="555"/>
      <c r="T42" s="18"/>
      <c r="U42" s="18"/>
      <c r="V42" s="18"/>
    </row>
    <row r="43" spans="1:30" s="16" customFormat="1" ht="15.75" customHeight="1">
      <c r="A43" s="549" t="s">
        <v>568</v>
      </c>
      <c r="B43" s="549"/>
      <c r="C43" s="549"/>
      <c r="D43" s="549"/>
      <c r="E43" s="549"/>
      <c r="F43" s="549"/>
      <c r="G43" s="549"/>
      <c r="H43" s="549"/>
      <c r="I43" s="549"/>
      <c r="J43" s="550" t="s">
        <v>573</v>
      </c>
      <c r="K43" s="550"/>
      <c r="L43" s="550">
        <v>1</v>
      </c>
      <c r="M43" s="550"/>
      <c r="N43" s="551">
        <v>5000</v>
      </c>
      <c r="O43" s="550"/>
      <c r="P43" s="551">
        <f>N43*L43</f>
        <v>5000</v>
      </c>
      <c r="Q43" s="550"/>
      <c r="R43" s="552"/>
      <c r="S43" s="552"/>
      <c r="T43" s="18"/>
      <c r="U43" s="18"/>
      <c r="V43" s="18"/>
    </row>
    <row r="44" spans="1:30" s="16" customFormat="1" ht="15.75" customHeight="1">
      <c r="A44" s="561" t="s">
        <v>571</v>
      </c>
      <c r="B44" s="562"/>
      <c r="C44" s="562"/>
      <c r="D44" s="562"/>
      <c r="E44" s="562"/>
      <c r="F44" s="562"/>
      <c r="G44" s="562"/>
      <c r="H44" s="562"/>
      <c r="I44" s="562"/>
      <c r="J44" s="562"/>
      <c r="K44" s="562"/>
      <c r="L44" s="562"/>
      <c r="M44" s="562"/>
      <c r="N44" s="562"/>
      <c r="O44" s="563"/>
      <c r="P44" s="560">
        <f>SUM(P43:Q43)</f>
        <v>5000</v>
      </c>
      <c r="Q44" s="555"/>
      <c r="R44" s="552"/>
      <c r="S44" s="552"/>
      <c r="T44" s="18"/>
      <c r="U44" s="18"/>
      <c r="V44" s="18"/>
    </row>
    <row r="45" spans="1:30" s="16" customFormat="1" ht="15.75" customHeight="1">
      <c r="A45" s="549" t="s">
        <v>1</v>
      </c>
      <c r="B45" s="549"/>
      <c r="C45" s="549"/>
      <c r="D45" s="549"/>
      <c r="E45" s="549"/>
      <c r="F45" s="549"/>
      <c r="G45" s="549"/>
      <c r="H45" s="549"/>
      <c r="I45" s="549"/>
      <c r="J45" s="550" t="s">
        <v>542</v>
      </c>
      <c r="K45" s="550"/>
      <c r="L45" s="564">
        <f>$G$193</f>
        <v>0.85355440000000016</v>
      </c>
      <c r="M45" s="564"/>
      <c r="N45" s="551">
        <f>P44</f>
        <v>5000</v>
      </c>
      <c r="O45" s="550"/>
      <c r="P45" s="551">
        <f>L45*N45</f>
        <v>4267.7720000000008</v>
      </c>
      <c r="Q45" s="550"/>
      <c r="R45" s="552"/>
      <c r="S45" s="552"/>
      <c r="T45" s="18"/>
      <c r="U45" s="18"/>
      <c r="V45" s="18"/>
    </row>
    <row r="46" spans="1:30" s="16" customFormat="1" ht="15.75" customHeight="1">
      <c r="A46" s="549" t="s">
        <v>588</v>
      </c>
      <c r="B46" s="549"/>
      <c r="C46" s="549"/>
      <c r="D46" s="549"/>
      <c r="E46" s="549"/>
      <c r="F46" s="549"/>
      <c r="G46" s="549"/>
      <c r="H46" s="549"/>
      <c r="I46" s="549"/>
      <c r="J46" s="550" t="s">
        <v>578</v>
      </c>
      <c r="K46" s="550"/>
      <c r="L46" s="550">
        <v>26</v>
      </c>
      <c r="M46" s="550"/>
      <c r="N46" s="551">
        <f>$G$198*0.9</f>
        <v>13.833</v>
      </c>
      <c r="O46" s="550"/>
      <c r="P46" s="551">
        <f t="shared" ref="P46:P52" si="1">N46*L46</f>
        <v>359.65800000000002</v>
      </c>
      <c r="Q46" s="550"/>
      <c r="R46" s="552"/>
      <c r="S46" s="552"/>
      <c r="T46" s="18"/>
      <c r="U46" s="18"/>
      <c r="V46" s="18"/>
    </row>
    <row r="47" spans="1:30" s="16" customFormat="1" ht="15.75" customHeight="1">
      <c r="A47" s="549" t="s">
        <v>4</v>
      </c>
      <c r="B47" s="549"/>
      <c r="C47" s="549"/>
      <c r="D47" s="549"/>
      <c r="E47" s="549"/>
      <c r="F47" s="549"/>
      <c r="G47" s="549"/>
      <c r="H47" s="549"/>
      <c r="I47" s="549"/>
      <c r="J47" s="550" t="s">
        <v>577</v>
      </c>
      <c r="K47" s="550"/>
      <c r="L47" s="550">
        <v>1</v>
      </c>
      <c r="M47" s="550"/>
      <c r="N47" s="551">
        <f>$G$196</f>
        <v>180.15</v>
      </c>
      <c r="O47" s="550"/>
      <c r="P47" s="551">
        <f t="shared" si="1"/>
        <v>180.15</v>
      </c>
      <c r="Q47" s="550"/>
      <c r="R47" s="552"/>
      <c r="S47" s="552"/>
      <c r="T47" s="18"/>
      <c r="U47" s="18"/>
      <c r="V47" s="18"/>
    </row>
    <row r="48" spans="1:30" s="16" customFormat="1" ht="15.75" customHeight="1">
      <c r="A48" s="549" t="s">
        <v>579</v>
      </c>
      <c r="B48" s="549"/>
      <c r="C48" s="549"/>
      <c r="D48" s="549"/>
      <c r="E48" s="549"/>
      <c r="F48" s="549"/>
      <c r="G48" s="549"/>
      <c r="H48" s="549"/>
      <c r="I48" s="549"/>
      <c r="J48" s="550" t="s">
        <v>577</v>
      </c>
      <c r="K48" s="550"/>
      <c r="L48" s="550">
        <v>1</v>
      </c>
      <c r="M48" s="550"/>
      <c r="N48" s="551">
        <f>(N47/12)*2</f>
        <v>30.025000000000002</v>
      </c>
      <c r="O48" s="550"/>
      <c r="P48" s="551">
        <f t="shared" si="1"/>
        <v>30.025000000000002</v>
      </c>
      <c r="Q48" s="550"/>
      <c r="R48" s="552"/>
      <c r="S48" s="552"/>
      <c r="T48" s="18"/>
      <c r="U48" s="18"/>
      <c r="V48" s="18"/>
    </row>
    <row r="49" spans="1:22" s="16" customFormat="1" ht="15.75" customHeight="1">
      <c r="A49" s="549" t="s">
        <v>580</v>
      </c>
      <c r="B49" s="549"/>
      <c r="C49" s="549"/>
      <c r="D49" s="549"/>
      <c r="E49" s="549"/>
      <c r="F49" s="549"/>
      <c r="G49" s="549"/>
      <c r="H49" s="549"/>
      <c r="I49" s="549"/>
      <c r="J49" s="550" t="s">
        <v>577</v>
      </c>
      <c r="K49" s="550"/>
      <c r="L49" s="550">
        <v>1</v>
      </c>
      <c r="M49" s="550"/>
      <c r="N49" s="551">
        <f>'BANCO DE DADOS'!$K$15</f>
        <v>37</v>
      </c>
      <c r="O49" s="550"/>
      <c r="P49" s="551">
        <f t="shared" si="1"/>
        <v>37</v>
      </c>
      <c r="Q49" s="550"/>
      <c r="R49" s="552"/>
      <c r="S49" s="552"/>
      <c r="T49" s="18"/>
      <c r="U49" s="18"/>
      <c r="V49" s="18"/>
    </row>
    <row r="50" spans="1:22" s="16" customFormat="1" ht="15.75" customHeight="1">
      <c r="A50" s="549" t="s">
        <v>244</v>
      </c>
      <c r="B50" s="549"/>
      <c r="C50" s="549"/>
      <c r="D50" s="549"/>
      <c r="E50" s="549"/>
      <c r="F50" s="549"/>
      <c r="G50" s="549"/>
      <c r="H50" s="549"/>
      <c r="I50" s="549"/>
      <c r="J50" s="550" t="s">
        <v>577</v>
      </c>
      <c r="K50" s="550"/>
      <c r="L50" s="550">
        <v>1</v>
      </c>
      <c r="M50" s="550"/>
      <c r="N50" s="551">
        <f>'BANCO DE DADOS'!$K$16</f>
        <v>12.91</v>
      </c>
      <c r="O50" s="550"/>
      <c r="P50" s="551">
        <f t="shared" si="1"/>
        <v>12.91</v>
      </c>
      <c r="Q50" s="550"/>
      <c r="R50" s="552"/>
      <c r="S50" s="552"/>
      <c r="T50" s="18"/>
      <c r="U50" s="18"/>
      <c r="V50" s="18"/>
    </row>
    <row r="51" spans="1:22" s="16" customFormat="1" ht="15.75" customHeight="1">
      <c r="A51" s="549" t="s">
        <v>581</v>
      </c>
      <c r="B51" s="549"/>
      <c r="C51" s="549"/>
      <c r="D51" s="549"/>
      <c r="E51" s="549"/>
      <c r="F51" s="549"/>
      <c r="G51" s="549"/>
      <c r="H51" s="549"/>
      <c r="I51" s="549"/>
      <c r="J51" s="550" t="s">
        <v>577</v>
      </c>
      <c r="K51" s="550"/>
      <c r="L51" s="550">
        <v>1</v>
      </c>
      <c r="M51" s="550"/>
      <c r="N51" s="551">
        <f>'BANCO DE DADOS'!$K$17</f>
        <v>32</v>
      </c>
      <c r="O51" s="550"/>
      <c r="P51" s="551">
        <f t="shared" si="1"/>
        <v>32</v>
      </c>
      <c r="Q51" s="550"/>
      <c r="R51" s="552"/>
      <c r="S51" s="552"/>
      <c r="T51" s="18"/>
      <c r="U51" s="18"/>
      <c r="V51" s="18"/>
    </row>
    <row r="52" spans="1:22" s="16" customFormat="1" ht="15.75" customHeight="1">
      <c r="A52" s="549" t="s">
        <v>582</v>
      </c>
      <c r="B52" s="549"/>
      <c r="C52" s="549"/>
      <c r="D52" s="549"/>
      <c r="E52" s="549"/>
      <c r="F52" s="549"/>
      <c r="G52" s="549"/>
      <c r="H52" s="549"/>
      <c r="I52" s="549"/>
      <c r="J52" s="550" t="s">
        <v>577</v>
      </c>
      <c r="K52" s="550"/>
      <c r="L52" s="550">
        <v>1</v>
      </c>
      <c r="M52" s="550"/>
      <c r="N52" s="551">
        <f>$J$223</f>
        <v>28.720000000000002</v>
      </c>
      <c r="O52" s="550"/>
      <c r="P52" s="551">
        <f t="shared" si="1"/>
        <v>28.720000000000002</v>
      </c>
      <c r="Q52" s="550"/>
      <c r="R52" s="552"/>
      <c r="S52" s="552"/>
      <c r="T52" s="18"/>
      <c r="U52" s="18"/>
      <c r="V52" s="18"/>
    </row>
    <row r="53" spans="1:22" s="16" customFormat="1" ht="15.75" customHeight="1">
      <c r="A53" s="561" t="s">
        <v>583</v>
      </c>
      <c r="B53" s="562"/>
      <c r="C53" s="562"/>
      <c r="D53" s="562"/>
      <c r="E53" s="562"/>
      <c r="F53" s="562"/>
      <c r="G53" s="562"/>
      <c r="H53" s="562"/>
      <c r="I53" s="562"/>
      <c r="J53" s="562"/>
      <c r="K53" s="562"/>
      <c r="L53" s="562"/>
      <c r="M53" s="562"/>
      <c r="N53" s="562"/>
      <c r="O53" s="563"/>
      <c r="P53" s="560">
        <f>SUM(P44:Q52)</f>
        <v>9948.2349999999988</v>
      </c>
      <c r="Q53" s="555"/>
      <c r="R53" s="565"/>
      <c r="S53" s="565"/>
      <c r="T53" s="18"/>
      <c r="U53" s="18"/>
      <c r="V53" s="18"/>
    </row>
    <row r="54" spans="1:22" s="16" customFormat="1" ht="15.75" customHeight="1">
      <c r="A54" s="549" t="s">
        <v>584</v>
      </c>
      <c r="B54" s="549"/>
      <c r="C54" s="549"/>
      <c r="D54" s="549"/>
      <c r="E54" s="549"/>
      <c r="F54" s="549"/>
      <c r="G54" s="549"/>
      <c r="H54" s="549"/>
      <c r="I54" s="549"/>
      <c r="J54" s="550" t="s">
        <v>585</v>
      </c>
      <c r="K54" s="550"/>
      <c r="L54" s="550">
        <v>1</v>
      </c>
      <c r="M54" s="550"/>
      <c r="N54" s="551">
        <f>P53</f>
        <v>9948.2349999999988</v>
      </c>
      <c r="O54" s="550"/>
      <c r="P54" s="551">
        <f>N54*L54</f>
        <v>9948.2349999999988</v>
      </c>
      <c r="Q54" s="550"/>
      <c r="R54" s="552"/>
      <c r="S54" s="552"/>
      <c r="T54" s="18"/>
      <c r="U54" s="18"/>
      <c r="V54" s="18"/>
    </row>
    <row r="55" spans="1:22" s="16" customFormat="1" ht="15.75" customHeight="1">
      <c r="A55" s="556" t="s">
        <v>587</v>
      </c>
      <c r="B55" s="557"/>
      <c r="C55" s="557"/>
      <c r="D55" s="557"/>
      <c r="E55" s="557"/>
      <c r="F55" s="557"/>
      <c r="G55" s="557"/>
      <c r="H55" s="557"/>
      <c r="I55" s="557"/>
      <c r="J55" s="557"/>
      <c r="K55" s="557"/>
      <c r="L55" s="557"/>
      <c r="M55" s="557"/>
      <c r="N55" s="557"/>
      <c r="O55" s="558"/>
      <c r="P55" s="559">
        <v>1</v>
      </c>
      <c r="Q55" s="559"/>
      <c r="R55" s="560">
        <f>P54*P55</f>
        <v>9948.2349999999988</v>
      </c>
      <c r="S55" s="555"/>
      <c r="T55" s="18"/>
      <c r="U55" s="18"/>
      <c r="V55" s="18"/>
    </row>
    <row r="56" spans="1:22" s="16" customFormat="1" ht="15.6">
      <c r="A56" s="400" t="str">
        <f>A29</f>
        <v>1.2</v>
      </c>
      <c r="B56" s="390" t="str">
        <f>B29</f>
        <v>Encarregado Operacional Geral</v>
      </c>
      <c r="C56" s="31"/>
      <c r="D56" s="31"/>
      <c r="E56" s="31"/>
      <c r="F56" s="31"/>
      <c r="G56" s="39"/>
      <c r="H56" s="19"/>
      <c r="I56" s="42"/>
      <c r="J56" s="19"/>
      <c r="K56" s="19"/>
      <c r="L56" s="19"/>
      <c r="M56" s="19"/>
      <c r="N56" s="19"/>
      <c r="O56" s="19"/>
      <c r="P56" s="19"/>
      <c r="Q56" s="19"/>
      <c r="R56" s="20"/>
      <c r="S56" s="19"/>
      <c r="T56" s="18"/>
      <c r="U56" s="18"/>
      <c r="V56" s="18"/>
    </row>
    <row r="57" spans="1:22" s="16" customFormat="1" ht="15.75" customHeight="1">
      <c r="A57" s="554" t="s">
        <v>569</v>
      </c>
      <c r="B57" s="554"/>
      <c r="C57" s="554"/>
      <c r="D57" s="554"/>
      <c r="E57" s="554"/>
      <c r="F57" s="554"/>
      <c r="G57" s="554"/>
      <c r="H57" s="554"/>
      <c r="I57" s="554"/>
      <c r="J57" s="555" t="s">
        <v>24</v>
      </c>
      <c r="K57" s="555"/>
      <c r="L57" s="555" t="s">
        <v>36</v>
      </c>
      <c r="M57" s="555"/>
      <c r="N57" s="555" t="s">
        <v>570</v>
      </c>
      <c r="O57" s="555"/>
      <c r="P57" s="555" t="s">
        <v>571</v>
      </c>
      <c r="Q57" s="555"/>
      <c r="R57" s="555" t="s">
        <v>572</v>
      </c>
      <c r="S57" s="555"/>
      <c r="T57" s="18"/>
      <c r="U57" s="18"/>
      <c r="V57" s="18"/>
    </row>
    <row r="58" spans="1:22" s="16" customFormat="1" ht="15.75" customHeight="1">
      <c r="A58" s="549" t="s">
        <v>568</v>
      </c>
      <c r="B58" s="549"/>
      <c r="C58" s="549"/>
      <c r="D58" s="549"/>
      <c r="E58" s="549"/>
      <c r="F58" s="549"/>
      <c r="G58" s="549"/>
      <c r="H58" s="549"/>
      <c r="I58" s="549"/>
      <c r="J58" s="550" t="s">
        <v>573</v>
      </c>
      <c r="K58" s="550"/>
      <c r="L58" s="550">
        <v>1</v>
      </c>
      <c r="M58" s="550"/>
      <c r="N58" s="551">
        <v>3000</v>
      </c>
      <c r="O58" s="550"/>
      <c r="P58" s="551">
        <f>N58*L58</f>
        <v>3000</v>
      </c>
      <c r="Q58" s="550"/>
      <c r="R58" s="552"/>
      <c r="S58" s="552"/>
      <c r="T58" s="18"/>
      <c r="U58" s="18"/>
      <c r="V58" s="18"/>
    </row>
    <row r="59" spans="1:22" s="16" customFormat="1" ht="15.75" customHeight="1">
      <c r="A59" s="561" t="s">
        <v>571</v>
      </c>
      <c r="B59" s="562"/>
      <c r="C59" s="562"/>
      <c r="D59" s="562"/>
      <c r="E59" s="562"/>
      <c r="F59" s="562"/>
      <c r="G59" s="562"/>
      <c r="H59" s="562"/>
      <c r="I59" s="562"/>
      <c r="J59" s="562"/>
      <c r="K59" s="562"/>
      <c r="L59" s="562"/>
      <c r="M59" s="562"/>
      <c r="N59" s="562"/>
      <c r="O59" s="563"/>
      <c r="P59" s="560">
        <f>SUM(P58:Q58)</f>
        <v>3000</v>
      </c>
      <c r="Q59" s="555"/>
      <c r="R59" s="552"/>
      <c r="S59" s="552"/>
      <c r="T59" s="18"/>
      <c r="U59" s="18"/>
      <c r="V59" s="18"/>
    </row>
    <row r="60" spans="1:22" s="16" customFormat="1" ht="15.75" customHeight="1">
      <c r="A60" s="549" t="s">
        <v>1</v>
      </c>
      <c r="B60" s="549"/>
      <c r="C60" s="549"/>
      <c r="D60" s="549"/>
      <c r="E60" s="549"/>
      <c r="F60" s="549"/>
      <c r="G60" s="549"/>
      <c r="H60" s="549"/>
      <c r="I60" s="549"/>
      <c r="J60" s="550" t="s">
        <v>542</v>
      </c>
      <c r="K60" s="550"/>
      <c r="L60" s="564">
        <f>$G$193</f>
        <v>0.85355440000000016</v>
      </c>
      <c r="M60" s="564"/>
      <c r="N60" s="551">
        <f>P59</f>
        <v>3000</v>
      </c>
      <c r="O60" s="550"/>
      <c r="P60" s="551">
        <f>L60*N60</f>
        <v>2560.6632000000004</v>
      </c>
      <c r="Q60" s="550"/>
      <c r="R60" s="552"/>
      <c r="S60" s="552"/>
      <c r="T60" s="18"/>
      <c r="U60" s="18"/>
      <c r="V60" s="18"/>
    </row>
    <row r="61" spans="1:22" s="16" customFormat="1" ht="15.75" customHeight="1">
      <c r="A61" s="549" t="s">
        <v>588</v>
      </c>
      <c r="B61" s="549"/>
      <c r="C61" s="549"/>
      <c r="D61" s="549"/>
      <c r="E61" s="549"/>
      <c r="F61" s="549"/>
      <c r="G61" s="549"/>
      <c r="H61" s="549"/>
      <c r="I61" s="549"/>
      <c r="J61" s="550" t="s">
        <v>578</v>
      </c>
      <c r="K61" s="550"/>
      <c r="L61" s="550">
        <v>26</v>
      </c>
      <c r="M61" s="550"/>
      <c r="N61" s="551">
        <f>$G$198*0.9</f>
        <v>13.833</v>
      </c>
      <c r="O61" s="550"/>
      <c r="P61" s="551">
        <f t="shared" ref="P61:P67" si="2">N61*L61</f>
        <v>359.65800000000002</v>
      </c>
      <c r="Q61" s="550"/>
      <c r="R61" s="552"/>
      <c r="S61" s="552"/>
      <c r="T61" s="18"/>
      <c r="U61" s="18"/>
      <c r="V61" s="18"/>
    </row>
    <row r="62" spans="1:22" s="16" customFormat="1" ht="15.75" customHeight="1">
      <c r="A62" s="549" t="s">
        <v>4</v>
      </c>
      <c r="B62" s="549"/>
      <c r="C62" s="549"/>
      <c r="D62" s="549"/>
      <c r="E62" s="549"/>
      <c r="F62" s="549"/>
      <c r="G62" s="549"/>
      <c r="H62" s="549"/>
      <c r="I62" s="549"/>
      <c r="J62" s="550" t="s">
        <v>577</v>
      </c>
      <c r="K62" s="550"/>
      <c r="L62" s="550">
        <v>1</v>
      </c>
      <c r="M62" s="550"/>
      <c r="N62" s="551">
        <f>$G$196</f>
        <v>180.15</v>
      </c>
      <c r="O62" s="550"/>
      <c r="P62" s="551">
        <f t="shared" si="2"/>
        <v>180.15</v>
      </c>
      <c r="Q62" s="550"/>
      <c r="R62" s="552"/>
      <c r="S62" s="552"/>
      <c r="T62" s="18"/>
      <c r="U62" s="18"/>
      <c r="V62" s="18"/>
    </row>
    <row r="63" spans="1:22" s="16" customFormat="1" ht="15.75" customHeight="1">
      <c r="A63" s="549" t="s">
        <v>579</v>
      </c>
      <c r="B63" s="549"/>
      <c r="C63" s="549"/>
      <c r="D63" s="549"/>
      <c r="E63" s="549"/>
      <c r="F63" s="549"/>
      <c r="G63" s="549"/>
      <c r="H63" s="549"/>
      <c r="I63" s="549"/>
      <c r="J63" s="550" t="s">
        <v>577</v>
      </c>
      <c r="K63" s="550"/>
      <c r="L63" s="550">
        <v>1</v>
      </c>
      <c r="M63" s="550"/>
      <c r="N63" s="551">
        <f>(N62/12)*2</f>
        <v>30.025000000000002</v>
      </c>
      <c r="O63" s="550"/>
      <c r="P63" s="551">
        <f t="shared" si="2"/>
        <v>30.025000000000002</v>
      </c>
      <c r="Q63" s="550"/>
      <c r="R63" s="552"/>
      <c r="S63" s="552"/>
      <c r="T63" s="18"/>
      <c r="U63" s="18"/>
      <c r="V63" s="18"/>
    </row>
    <row r="64" spans="1:22" s="16" customFormat="1" ht="15.75" customHeight="1">
      <c r="A64" s="549" t="s">
        <v>580</v>
      </c>
      <c r="B64" s="549"/>
      <c r="C64" s="549"/>
      <c r="D64" s="549"/>
      <c r="E64" s="549"/>
      <c r="F64" s="549"/>
      <c r="G64" s="549"/>
      <c r="H64" s="549"/>
      <c r="I64" s="549"/>
      <c r="J64" s="550" t="s">
        <v>577</v>
      </c>
      <c r="K64" s="550"/>
      <c r="L64" s="550">
        <v>1</v>
      </c>
      <c r="M64" s="550"/>
      <c r="N64" s="551">
        <f>'BANCO DE DADOS'!$K$15</f>
        <v>37</v>
      </c>
      <c r="O64" s="550"/>
      <c r="P64" s="551">
        <f t="shared" si="2"/>
        <v>37</v>
      </c>
      <c r="Q64" s="550"/>
      <c r="R64" s="552"/>
      <c r="S64" s="552"/>
      <c r="T64" s="18"/>
      <c r="U64" s="18"/>
      <c r="V64" s="18"/>
    </row>
    <row r="65" spans="1:22" s="16" customFormat="1" ht="15.75" customHeight="1">
      <c r="A65" s="549" t="s">
        <v>244</v>
      </c>
      <c r="B65" s="549"/>
      <c r="C65" s="549"/>
      <c r="D65" s="549"/>
      <c r="E65" s="549"/>
      <c r="F65" s="549"/>
      <c r="G65" s="549"/>
      <c r="H65" s="549"/>
      <c r="I65" s="549"/>
      <c r="J65" s="550" t="s">
        <v>577</v>
      </c>
      <c r="K65" s="550"/>
      <c r="L65" s="550">
        <v>1</v>
      </c>
      <c r="M65" s="550"/>
      <c r="N65" s="551">
        <f>'BANCO DE DADOS'!$K$16</f>
        <v>12.91</v>
      </c>
      <c r="O65" s="550"/>
      <c r="P65" s="551">
        <f t="shared" si="2"/>
        <v>12.91</v>
      </c>
      <c r="Q65" s="550"/>
      <c r="R65" s="552"/>
      <c r="S65" s="552"/>
      <c r="T65" s="18"/>
      <c r="U65" s="18"/>
      <c r="V65" s="18"/>
    </row>
    <row r="66" spans="1:22" s="16" customFormat="1" ht="15.75" customHeight="1">
      <c r="A66" s="549" t="s">
        <v>581</v>
      </c>
      <c r="B66" s="549"/>
      <c r="C66" s="549"/>
      <c r="D66" s="549"/>
      <c r="E66" s="549"/>
      <c r="F66" s="549"/>
      <c r="G66" s="549"/>
      <c r="H66" s="549"/>
      <c r="I66" s="549"/>
      <c r="J66" s="550" t="s">
        <v>577</v>
      </c>
      <c r="K66" s="550"/>
      <c r="L66" s="550">
        <v>1</v>
      </c>
      <c r="M66" s="550"/>
      <c r="N66" s="551">
        <f>'BANCO DE DADOS'!$K$17</f>
        <v>32</v>
      </c>
      <c r="O66" s="550"/>
      <c r="P66" s="551">
        <f t="shared" si="2"/>
        <v>32</v>
      </c>
      <c r="Q66" s="550"/>
      <c r="R66" s="552"/>
      <c r="S66" s="552"/>
      <c r="T66" s="18"/>
      <c r="U66" s="18"/>
      <c r="V66" s="18"/>
    </row>
    <row r="67" spans="1:22" s="16" customFormat="1" ht="15.75" customHeight="1">
      <c r="A67" s="549" t="s">
        <v>582</v>
      </c>
      <c r="B67" s="549"/>
      <c r="C67" s="549"/>
      <c r="D67" s="549"/>
      <c r="E67" s="549"/>
      <c r="F67" s="549"/>
      <c r="G67" s="549"/>
      <c r="H67" s="549"/>
      <c r="I67" s="549"/>
      <c r="J67" s="550" t="s">
        <v>577</v>
      </c>
      <c r="K67" s="550"/>
      <c r="L67" s="550">
        <v>1</v>
      </c>
      <c r="M67" s="550"/>
      <c r="N67" s="551">
        <f>$J$223</f>
        <v>28.720000000000002</v>
      </c>
      <c r="O67" s="550"/>
      <c r="P67" s="551">
        <f t="shared" si="2"/>
        <v>28.720000000000002</v>
      </c>
      <c r="Q67" s="550"/>
      <c r="R67" s="552"/>
      <c r="S67" s="552"/>
      <c r="T67" s="18"/>
      <c r="U67" s="18"/>
      <c r="V67" s="18"/>
    </row>
    <row r="68" spans="1:22" s="16" customFormat="1" ht="15.75" customHeight="1">
      <c r="A68" s="561" t="s">
        <v>583</v>
      </c>
      <c r="B68" s="562"/>
      <c r="C68" s="562"/>
      <c r="D68" s="562"/>
      <c r="E68" s="562"/>
      <c r="F68" s="562"/>
      <c r="G68" s="562"/>
      <c r="H68" s="562"/>
      <c r="I68" s="562"/>
      <c r="J68" s="562"/>
      <c r="K68" s="562"/>
      <c r="L68" s="562"/>
      <c r="M68" s="562"/>
      <c r="N68" s="562"/>
      <c r="O68" s="563"/>
      <c r="P68" s="560">
        <f>SUM(P59:Q67)</f>
        <v>6241.1262000000006</v>
      </c>
      <c r="Q68" s="555"/>
      <c r="R68" s="565"/>
      <c r="S68" s="565"/>
      <c r="T68" s="18"/>
      <c r="U68" s="18"/>
      <c r="V68" s="18"/>
    </row>
    <row r="69" spans="1:22" s="16" customFormat="1" ht="15.75" customHeight="1">
      <c r="A69" s="549" t="s">
        <v>584</v>
      </c>
      <c r="B69" s="549"/>
      <c r="C69" s="549"/>
      <c r="D69" s="549"/>
      <c r="E69" s="549"/>
      <c r="F69" s="549"/>
      <c r="G69" s="549"/>
      <c r="H69" s="549"/>
      <c r="I69" s="549"/>
      <c r="J69" s="550" t="s">
        <v>585</v>
      </c>
      <c r="K69" s="550"/>
      <c r="L69" s="550">
        <v>1</v>
      </c>
      <c r="M69" s="550"/>
      <c r="N69" s="551">
        <f>P68</f>
        <v>6241.1262000000006</v>
      </c>
      <c r="O69" s="550"/>
      <c r="P69" s="551">
        <f>N69*L69</f>
        <v>6241.1262000000006</v>
      </c>
      <c r="Q69" s="550"/>
      <c r="R69" s="552"/>
      <c r="S69" s="552"/>
      <c r="T69" s="18"/>
      <c r="U69" s="18"/>
      <c r="V69" s="18"/>
    </row>
    <row r="70" spans="1:22" s="16" customFormat="1" ht="15.75" customHeight="1">
      <c r="A70" s="556" t="s">
        <v>587</v>
      </c>
      <c r="B70" s="557"/>
      <c r="C70" s="557"/>
      <c r="D70" s="557"/>
      <c r="E70" s="557"/>
      <c r="F70" s="557"/>
      <c r="G70" s="557"/>
      <c r="H70" s="557"/>
      <c r="I70" s="557"/>
      <c r="J70" s="557"/>
      <c r="K70" s="557"/>
      <c r="L70" s="557"/>
      <c r="M70" s="557"/>
      <c r="N70" s="557"/>
      <c r="O70" s="558"/>
      <c r="P70" s="559">
        <v>1</v>
      </c>
      <c r="Q70" s="559"/>
      <c r="R70" s="560">
        <f>P69*P70</f>
        <v>6241.1262000000006</v>
      </c>
      <c r="S70" s="555"/>
      <c r="T70" s="18"/>
      <c r="U70" s="18"/>
      <c r="V70" s="18"/>
    </row>
    <row r="71" spans="1:22" s="16" customFormat="1" ht="15.6">
      <c r="A71" s="400" t="str">
        <f>A30</f>
        <v>1.3</v>
      </c>
      <c r="B71" s="390" t="str">
        <f>B30</f>
        <v>Tec. Seg. Trabalho</v>
      </c>
      <c r="C71" s="31"/>
      <c r="D71" s="31"/>
      <c r="E71" s="31"/>
      <c r="F71" s="31"/>
      <c r="G71" s="39"/>
      <c r="H71" s="19"/>
      <c r="I71" s="42"/>
      <c r="J71" s="19"/>
      <c r="K71" s="19"/>
      <c r="L71" s="19"/>
      <c r="M71" s="19"/>
      <c r="N71" s="19"/>
      <c r="O71" s="19"/>
      <c r="P71" s="19"/>
      <c r="Q71" s="19"/>
      <c r="R71" s="20"/>
      <c r="S71" s="19"/>
      <c r="T71" s="18"/>
      <c r="U71" s="18"/>
      <c r="V71" s="18"/>
    </row>
    <row r="72" spans="1:22" s="16" customFormat="1" ht="15.75" customHeight="1">
      <c r="A72" s="554" t="s">
        <v>569</v>
      </c>
      <c r="B72" s="554"/>
      <c r="C72" s="554"/>
      <c r="D72" s="554"/>
      <c r="E72" s="554"/>
      <c r="F72" s="554"/>
      <c r="G72" s="554"/>
      <c r="H72" s="554"/>
      <c r="I72" s="554"/>
      <c r="J72" s="555" t="s">
        <v>24</v>
      </c>
      <c r="K72" s="555"/>
      <c r="L72" s="555" t="s">
        <v>36</v>
      </c>
      <c r="M72" s="555"/>
      <c r="N72" s="555" t="s">
        <v>570</v>
      </c>
      <c r="O72" s="555"/>
      <c r="P72" s="555" t="s">
        <v>571</v>
      </c>
      <c r="Q72" s="555"/>
      <c r="R72" s="555" t="s">
        <v>572</v>
      </c>
      <c r="S72" s="555"/>
      <c r="T72" s="18"/>
      <c r="U72" s="18"/>
      <c r="V72" s="18"/>
    </row>
    <row r="73" spans="1:22" s="16" customFormat="1" ht="15.75" customHeight="1">
      <c r="A73" s="549" t="s">
        <v>568</v>
      </c>
      <c r="B73" s="549"/>
      <c r="C73" s="549"/>
      <c r="D73" s="549"/>
      <c r="E73" s="549"/>
      <c r="F73" s="549"/>
      <c r="G73" s="549"/>
      <c r="H73" s="549"/>
      <c r="I73" s="549"/>
      <c r="J73" s="550" t="s">
        <v>573</v>
      </c>
      <c r="K73" s="550"/>
      <c r="L73" s="550">
        <v>1</v>
      </c>
      <c r="M73" s="550"/>
      <c r="N73" s="551">
        <v>2000</v>
      </c>
      <c r="O73" s="550"/>
      <c r="P73" s="551">
        <f>N73*L73</f>
        <v>2000</v>
      </c>
      <c r="Q73" s="550"/>
      <c r="R73" s="552"/>
      <c r="S73" s="552"/>
      <c r="T73" s="18"/>
      <c r="U73" s="18"/>
      <c r="V73" s="18"/>
    </row>
    <row r="74" spans="1:22" s="16" customFormat="1" ht="15.75" customHeight="1">
      <c r="A74" s="561" t="s">
        <v>571</v>
      </c>
      <c r="B74" s="562"/>
      <c r="C74" s="562"/>
      <c r="D74" s="562"/>
      <c r="E74" s="562"/>
      <c r="F74" s="562"/>
      <c r="G74" s="562"/>
      <c r="H74" s="562"/>
      <c r="I74" s="562"/>
      <c r="J74" s="562"/>
      <c r="K74" s="562"/>
      <c r="L74" s="562"/>
      <c r="M74" s="562"/>
      <c r="N74" s="562"/>
      <c r="O74" s="563"/>
      <c r="P74" s="560">
        <f>SUM(P73:Q73)</f>
        <v>2000</v>
      </c>
      <c r="Q74" s="555"/>
      <c r="R74" s="552"/>
      <c r="S74" s="552"/>
      <c r="T74" s="18"/>
      <c r="U74" s="18"/>
      <c r="V74" s="18"/>
    </row>
    <row r="75" spans="1:22" s="16" customFormat="1" ht="15.75" customHeight="1">
      <c r="A75" s="549" t="s">
        <v>1</v>
      </c>
      <c r="B75" s="549"/>
      <c r="C75" s="549"/>
      <c r="D75" s="549"/>
      <c r="E75" s="549"/>
      <c r="F75" s="549"/>
      <c r="G75" s="549"/>
      <c r="H75" s="549"/>
      <c r="I75" s="549"/>
      <c r="J75" s="550" t="s">
        <v>542</v>
      </c>
      <c r="K75" s="550"/>
      <c r="L75" s="564">
        <f>$G$193</f>
        <v>0.85355440000000016</v>
      </c>
      <c r="M75" s="564"/>
      <c r="N75" s="551">
        <f>P74</f>
        <v>2000</v>
      </c>
      <c r="O75" s="550"/>
      <c r="P75" s="551">
        <f>L75*N75</f>
        <v>1707.1088000000004</v>
      </c>
      <c r="Q75" s="550"/>
      <c r="R75" s="552"/>
      <c r="S75" s="552"/>
      <c r="T75" s="18"/>
      <c r="U75" s="18"/>
      <c r="V75" s="18"/>
    </row>
    <row r="76" spans="1:22" s="16" customFormat="1" ht="15.75" customHeight="1">
      <c r="A76" s="549" t="s">
        <v>586</v>
      </c>
      <c r="B76" s="549"/>
      <c r="C76" s="549"/>
      <c r="D76" s="549"/>
      <c r="E76" s="549"/>
      <c r="F76" s="549"/>
      <c r="G76" s="549"/>
      <c r="H76" s="549"/>
      <c r="I76" s="549"/>
      <c r="J76" s="550" t="s">
        <v>577</v>
      </c>
      <c r="K76" s="550"/>
      <c r="L76" s="576">
        <v>0.06</v>
      </c>
      <c r="M76" s="630"/>
      <c r="N76" s="551">
        <f>$I$194</f>
        <v>166.4</v>
      </c>
      <c r="O76" s="550"/>
      <c r="P76" s="551">
        <f>N76-N73*L76</f>
        <v>46.400000000000006</v>
      </c>
      <c r="Q76" s="550"/>
      <c r="R76" s="552"/>
      <c r="S76" s="552"/>
      <c r="T76" s="18"/>
      <c r="U76" s="18"/>
      <c r="V76" s="18"/>
    </row>
    <row r="77" spans="1:22" s="16" customFormat="1" ht="15.75" customHeight="1">
      <c r="A77" s="549" t="s">
        <v>588</v>
      </c>
      <c r="B77" s="549"/>
      <c r="C77" s="549"/>
      <c r="D77" s="549"/>
      <c r="E77" s="549"/>
      <c r="F77" s="549"/>
      <c r="G77" s="549"/>
      <c r="H77" s="549"/>
      <c r="I77" s="549"/>
      <c r="J77" s="550" t="s">
        <v>578</v>
      </c>
      <c r="K77" s="550"/>
      <c r="L77" s="550">
        <v>26</v>
      </c>
      <c r="M77" s="550"/>
      <c r="N77" s="551">
        <f>$G$198*0.9</f>
        <v>13.833</v>
      </c>
      <c r="O77" s="550"/>
      <c r="P77" s="551">
        <f t="shared" ref="P77:P83" si="3">N77*L77</f>
        <v>359.65800000000002</v>
      </c>
      <c r="Q77" s="550"/>
      <c r="R77" s="552"/>
      <c r="S77" s="552"/>
      <c r="T77" s="18"/>
      <c r="U77" s="18"/>
      <c r="V77" s="18"/>
    </row>
    <row r="78" spans="1:22" s="16" customFormat="1" ht="15.75" customHeight="1">
      <c r="A78" s="549" t="s">
        <v>4</v>
      </c>
      <c r="B78" s="549"/>
      <c r="C78" s="549"/>
      <c r="D78" s="549"/>
      <c r="E78" s="549"/>
      <c r="F78" s="549"/>
      <c r="G78" s="549"/>
      <c r="H78" s="549"/>
      <c r="I78" s="549"/>
      <c r="J78" s="550" t="s">
        <v>577</v>
      </c>
      <c r="K78" s="550"/>
      <c r="L78" s="550">
        <v>1</v>
      </c>
      <c r="M78" s="550"/>
      <c r="N78" s="551">
        <f>$G$196</f>
        <v>180.15</v>
      </c>
      <c r="O78" s="550"/>
      <c r="P78" s="551">
        <f t="shared" si="3"/>
        <v>180.15</v>
      </c>
      <c r="Q78" s="550"/>
      <c r="R78" s="552"/>
      <c r="S78" s="552"/>
      <c r="T78" s="18"/>
      <c r="U78" s="18"/>
      <c r="V78" s="18"/>
    </row>
    <row r="79" spans="1:22" s="16" customFormat="1" ht="15.75" customHeight="1">
      <c r="A79" s="549" t="s">
        <v>579</v>
      </c>
      <c r="B79" s="549"/>
      <c r="C79" s="549"/>
      <c r="D79" s="549"/>
      <c r="E79" s="549"/>
      <c r="F79" s="549"/>
      <c r="G79" s="549"/>
      <c r="H79" s="549"/>
      <c r="I79" s="549"/>
      <c r="J79" s="550" t="s">
        <v>577</v>
      </c>
      <c r="K79" s="550"/>
      <c r="L79" s="550">
        <v>1</v>
      </c>
      <c r="M79" s="550"/>
      <c r="N79" s="551">
        <f>(N78/12)*2</f>
        <v>30.025000000000002</v>
      </c>
      <c r="O79" s="550"/>
      <c r="P79" s="551">
        <f t="shared" si="3"/>
        <v>30.025000000000002</v>
      </c>
      <c r="Q79" s="550"/>
      <c r="R79" s="552"/>
      <c r="S79" s="552"/>
      <c r="T79" s="18"/>
      <c r="U79" s="18"/>
      <c r="V79" s="18"/>
    </row>
    <row r="80" spans="1:22" s="16" customFormat="1" ht="15.75" customHeight="1">
      <c r="A80" s="549" t="s">
        <v>580</v>
      </c>
      <c r="B80" s="549"/>
      <c r="C80" s="549"/>
      <c r="D80" s="549"/>
      <c r="E80" s="549"/>
      <c r="F80" s="549"/>
      <c r="G80" s="549"/>
      <c r="H80" s="549"/>
      <c r="I80" s="549"/>
      <c r="J80" s="550" t="s">
        <v>577</v>
      </c>
      <c r="K80" s="550"/>
      <c r="L80" s="550">
        <v>1</v>
      </c>
      <c r="M80" s="550"/>
      <c r="N80" s="551">
        <f>'BANCO DE DADOS'!$K$15</f>
        <v>37</v>
      </c>
      <c r="O80" s="550"/>
      <c r="P80" s="551">
        <f t="shared" si="3"/>
        <v>37</v>
      </c>
      <c r="Q80" s="550"/>
      <c r="R80" s="552"/>
      <c r="S80" s="552"/>
      <c r="T80" s="18"/>
      <c r="U80" s="18"/>
      <c r="V80" s="18"/>
    </row>
    <row r="81" spans="1:22" s="16" customFormat="1" ht="15.75" customHeight="1">
      <c r="A81" s="549" t="s">
        <v>244</v>
      </c>
      <c r="B81" s="549"/>
      <c r="C81" s="549"/>
      <c r="D81" s="549"/>
      <c r="E81" s="549"/>
      <c r="F81" s="549"/>
      <c r="G81" s="549"/>
      <c r="H81" s="549"/>
      <c r="I81" s="549"/>
      <c r="J81" s="550" t="s">
        <v>577</v>
      </c>
      <c r="K81" s="550"/>
      <c r="L81" s="550">
        <v>1</v>
      </c>
      <c r="M81" s="550"/>
      <c r="N81" s="551">
        <f>'BANCO DE DADOS'!$K$16</f>
        <v>12.91</v>
      </c>
      <c r="O81" s="550"/>
      <c r="P81" s="551">
        <f t="shared" si="3"/>
        <v>12.91</v>
      </c>
      <c r="Q81" s="550"/>
      <c r="R81" s="552"/>
      <c r="S81" s="552"/>
      <c r="T81" s="18"/>
      <c r="U81" s="18"/>
      <c r="V81" s="18"/>
    </row>
    <row r="82" spans="1:22" s="16" customFormat="1" ht="15.75" customHeight="1">
      <c r="A82" s="549" t="s">
        <v>581</v>
      </c>
      <c r="B82" s="549"/>
      <c r="C82" s="549"/>
      <c r="D82" s="549"/>
      <c r="E82" s="549"/>
      <c r="F82" s="549"/>
      <c r="G82" s="549"/>
      <c r="H82" s="549"/>
      <c r="I82" s="549"/>
      <c r="J82" s="550" t="s">
        <v>577</v>
      </c>
      <c r="K82" s="550"/>
      <c r="L82" s="550">
        <v>1</v>
      </c>
      <c r="M82" s="550"/>
      <c r="N82" s="551">
        <f>'BANCO DE DADOS'!$K$17</f>
        <v>32</v>
      </c>
      <c r="O82" s="550"/>
      <c r="P82" s="551">
        <f t="shared" si="3"/>
        <v>32</v>
      </c>
      <c r="Q82" s="550"/>
      <c r="R82" s="552"/>
      <c r="S82" s="552"/>
      <c r="T82" s="18"/>
      <c r="U82" s="18"/>
      <c r="V82" s="18"/>
    </row>
    <row r="83" spans="1:22" s="16" customFormat="1" ht="15.75" customHeight="1">
      <c r="A83" s="549" t="s">
        <v>582</v>
      </c>
      <c r="B83" s="549"/>
      <c r="C83" s="549"/>
      <c r="D83" s="549"/>
      <c r="E83" s="549"/>
      <c r="F83" s="549"/>
      <c r="G83" s="549"/>
      <c r="H83" s="549"/>
      <c r="I83" s="549"/>
      <c r="J83" s="550" t="s">
        <v>577</v>
      </c>
      <c r="K83" s="550"/>
      <c r="L83" s="550">
        <v>1</v>
      </c>
      <c r="M83" s="550"/>
      <c r="N83" s="551">
        <f>$J$223</f>
        <v>28.720000000000002</v>
      </c>
      <c r="O83" s="550"/>
      <c r="P83" s="551">
        <f t="shared" si="3"/>
        <v>28.720000000000002</v>
      </c>
      <c r="Q83" s="550"/>
      <c r="R83" s="552"/>
      <c r="S83" s="552"/>
      <c r="T83" s="18"/>
      <c r="U83" s="18"/>
      <c r="V83" s="18"/>
    </row>
    <row r="84" spans="1:22" s="16" customFormat="1" ht="15.75" customHeight="1">
      <c r="A84" s="561" t="s">
        <v>583</v>
      </c>
      <c r="B84" s="562"/>
      <c r="C84" s="562"/>
      <c r="D84" s="562"/>
      <c r="E84" s="562"/>
      <c r="F84" s="562"/>
      <c r="G84" s="562"/>
      <c r="H84" s="562"/>
      <c r="I84" s="562"/>
      <c r="J84" s="562"/>
      <c r="K84" s="562"/>
      <c r="L84" s="562"/>
      <c r="M84" s="562"/>
      <c r="N84" s="562"/>
      <c r="O84" s="563"/>
      <c r="P84" s="560">
        <f>SUM(P74:Q83)</f>
        <v>4433.9718000000003</v>
      </c>
      <c r="Q84" s="555"/>
      <c r="R84" s="565"/>
      <c r="S84" s="565"/>
      <c r="T84" s="18"/>
      <c r="U84" s="18"/>
      <c r="V84" s="18"/>
    </row>
    <row r="85" spans="1:22" s="16" customFormat="1" ht="15.75" customHeight="1">
      <c r="A85" s="549" t="s">
        <v>584</v>
      </c>
      <c r="B85" s="549"/>
      <c r="C85" s="549"/>
      <c r="D85" s="549"/>
      <c r="E85" s="549"/>
      <c r="F85" s="549"/>
      <c r="G85" s="549"/>
      <c r="H85" s="549"/>
      <c r="I85" s="549"/>
      <c r="J85" s="550" t="s">
        <v>585</v>
      </c>
      <c r="K85" s="550"/>
      <c r="L85" s="550">
        <f>R30</f>
        <v>1</v>
      </c>
      <c r="M85" s="550"/>
      <c r="N85" s="551">
        <f>P84</f>
        <v>4433.9718000000003</v>
      </c>
      <c r="O85" s="550"/>
      <c r="P85" s="551">
        <f>N85*L85</f>
        <v>4433.9718000000003</v>
      </c>
      <c r="Q85" s="550"/>
      <c r="R85" s="552"/>
      <c r="S85" s="552"/>
      <c r="T85" s="18"/>
      <c r="U85" s="18"/>
      <c r="V85" s="18"/>
    </row>
    <row r="86" spans="1:22" s="16" customFormat="1" ht="15.75" customHeight="1">
      <c r="A86" s="556" t="s">
        <v>587</v>
      </c>
      <c r="B86" s="557"/>
      <c r="C86" s="557"/>
      <c r="D86" s="557"/>
      <c r="E86" s="557"/>
      <c r="F86" s="557"/>
      <c r="G86" s="557"/>
      <c r="H86" s="557"/>
      <c r="I86" s="557"/>
      <c r="J86" s="557"/>
      <c r="K86" s="557"/>
      <c r="L86" s="557"/>
      <c r="M86" s="557"/>
      <c r="N86" s="557"/>
      <c r="O86" s="558"/>
      <c r="P86" s="559">
        <v>1</v>
      </c>
      <c r="Q86" s="559"/>
      <c r="R86" s="560">
        <f>P85*P86</f>
        <v>4433.9718000000003</v>
      </c>
      <c r="S86" s="555"/>
      <c r="T86" s="18"/>
      <c r="U86" s="18"/>
      <c r="V86" s="18"/>
    </row>
    <row r="87" spans="1:22" s="16" customFormat="1" ht="15.6">
      <c r="A87" s="400" t="str">
        <f>A31</f>
        <v>1.4</v>
      </c>
      <c r="B87" s="390" t="str">
        <f>B31</f>
        <v>Auxiliar  Administrativo</v>
      </c>
      <c r="C87" s="31"/>
      <c r="D87" s="31"/>
      <c r="E87" s="31"/>
      <c r="F87" s="31"/>
      <c r="G87" s="39"/>
      <c r="H87" s="19"/>
      <c r="I87" s="42"/>
      <c r="J87" s="19"/>
      <c r="K87" s="19"/>
      <c r="L87" s="19"/>
      <c r="M87" s="19"/>
      <c r="N87" s="19"/>
      <c r="O87" s="19"/>
      <c r="P87" s="19"/>
      <c r="Q87" s="19"/>
      <c r="R87" s="20"/>
      <c r="S87" s="19"/>
      <c r="T87" s="18"/>
      <c r="U87" s="18"/>
      <c r="V87" s="18"/>
    </row>
    <row r="88" spans="1:22" s="16" customFormat="1" ht="15.75" customHeight="1">
      <c r="A88" s="554" t="s">
        <v>569</v>
      </c>
      <c r="B88" s="554"/>
      <c r="C88" s="554"/>
      <c r="D88" s="554"/>
      <c r="E88" s="554"/>
      <c r="F88" s="554"/>
      <c r="G88" s="554"/>
      <c r="H88" s="554"/>
      <c r="I88" s="554"/>
      <c r="J88" s="555" t="s">
        <v>24</v>
      </c>
      <c r="K88" s="555"/>
      <c r="L88" s="555" t="s">
        <v>36</v>
      </c>
      <c r="M88" s="555"/>
      <c r="N88" s="555" t="s">
        <v>570</v>
      </c>
      <c r="O88" s="555"/>
      <c r="P88" s="555" t="s">
        <v>571</v>
      </c>
      <c r="Q88" s="555"/>
      <c r="R88" s="555" t="s">
        <v>572</v>
      </c>
      <c r="S88" s="555"/>
      <c r="T88" s="18"/>
      <c r="U88" s="18"/>
      <c r="V88" s="18"/>
    </row>
    <row r="89" spans="1:22" s="16" customFormat="1" ht="15.75" customHeight="1">
      <c r="A89" s="549" t="s">
        <v>568</v>
      </c>
      <c r="B89" s="549"/>
      <c r="C89" s="549"/>
      <c r="D89" s="549"/>
      <c r="E89" s="549"/>
      <c r="F89" s="549"/>
      <c r="G89" s="549"/>
      <c r="H89" s="549"/>
      <c r="I89" s="549"/>
      <c r="J89" s="550" t="s">
        <v>573</v>
      </c>
      <c r="K89" s="550"/>
      <c r="L89" s="550">
        <v>1</v>
      </c>
      <c r="M89" s="550"/>
      <c r="N89" s="551">
        <v>1500</v>
      </c>
      <c r="O89" s="550"/>
      <c r="P89" s="551">
        <f>N89*L89</f>
        <v>1500</v>
      </c>
      <c r="Q89" s="550"/>
      <c r="R89" s="552"/>
      <c r="S89" s="552"/>
      <c r="T89" s="18"/>
      <c r="U89" s="18"/>
      <c r="V89" s="18"/>
    </row>
    <row r="90" spans="1:22" s="16" customFormat="1" ht="15.75" customHeight="1">
      <c r="A90" s="561" t="s">
        <v>571</v>
      </c>
      <c r="B90" s="562"/>
      <c r="C90" s="562"/>
      <c r="D90" s="562"/>
      <c r="E90" s="562"/>
      <c r="F90" s="562"/>
      <c r="G90" s="562"/>
      <c r="H90" s="562"/>
      <c r="I90" s="562"/>
      <c r="J90" s="562"/>
      <c r="K90" s="562"/>
      <c r="L90" s="562"/>
      <c r="M90" s="562"/>
      <c r="N90" s="562"/>
      <c r="O90" s="563"/>
      <c r="P90" s="560">
        <f>SUM(P89:Q89)</f>
        <v>1500</v>
      </c>
      <c r="Q90" s="555"/>
      <c r="R90" s="552"/>
      <c r="S90" s="552"/>
      <c r="T90" s="18"/>
      <c r="U90" s="18"/>
      <c r="V90" s="18"/>
    </row>
    <row r="91" spans="1:22" s="16" customFormat="1" ht="15.75" customHeight="1">
      <c r="A91" s="549" t="s">
        <v>1</v>
      </c>
      <c r="B91" s="549"/>
      <c r="C91" s="549"/>
      <c r="D91" s="549"/>
      <c r="E91" s="549"/>
      <c r="F91" s="549"/>
      <c r="G91" s="549"/>
      <c r="H91" s="549"/>
      <c r="I91" s="549"/>
      <c r="J91" s="550" t="s">
        <v>542</v>
      </c>
      <c r="K91" s="550"/>
      <c r="L91" s="564">
        <f>$G$193</f>
        <v>0.85355440000000016</v>
      </c>
      <c r="M91" s="564"/>
      <c r="N91" s="551">
        <f>P90</f>
        <v>1500</v>
      </c>
      <c r="O91" s="550"/>
      <c r="P91" s="551">
        <f>L91*N91</f>
        <v>1280.3316000000002</v>
      </c>
      <c r="Q91" s="550"/>
      <c r="R91" s="552"/>
      <c r="S91" s="552"/>
      <c r="T91" s="18"/>
      <c r="U91" s="18"/>
      <c r="V91" s="18"/>
    </row>
    <row r="92" spans="1:22" s="16" customFormat="1" ht="15.75" customHeight="1">
      <c r="A92" s="549" t="s">
        <v>586</v>
      </c>
      <c r="B92" s="549"/>
      <c r="C92" s="549"/>
      <c r="D92" s="549"/>
      <c r="E92" s="549"/>
      <c r="F92" s="549"/>
      <c r="G92" s="549"/>
      <c r="H92" s="549"/>
      <c r="I92" s="549"/>
      <c r="J92" s="550" t="s">
        <v>577</v>
      </c>
      <c r="K92" s="550"/>
      <c r="L92" s="576">
        <v>0.06</v>
      </c>
      <c r="M92" s="630"/>
      <c r="N92" s="551">
        <f>$I$194</f>
        <v>166.4</v>
      </c>
      <c r="O92" s="550"/>
      <c r="P92" s="551">
        <f>N92-N89*L92</f>
        <v>76.400000000000006</v>
      </c>
      <c r="Q92" s="550"/>
      <c r="R92" s="552"/>
      <c r="S92" s="552"/>
      <c r="T92" s="18"/>
      <c r="U92" s="18"/>
      <c r="V92" s="18"/>
    </row>
    <row r="93" spans="1:22" s="16" customFormat="1" ht="15.75" customHeight="1">
      <c r="A93" s="549" t="s">
        <v>588</v>
      </c>
      <c r="B93" s="549"/>
      <c r="C93" s="549"/>
      <c r="D93" s="549"/>
      <c r="E93" s="549"/>
      <c r="F93" s="549"/>
      <c r="G93" s="549"/>
      <c r="H93" s="549"/>
      <c r="I93" s="549"/>
      <c r="J93" s="550" t="s">
        <v>578</v>
      </c>
      <c r="K93" s="550"/>
      <c r="L93" s="550">
        <v>26</v>
      </c>
      <c r="M93" s="550"/>
      <c r="N93" s="551">
        <f>$G$198*0.9</f>
        <v>13.833</v>
      </c>
      <c r="O93" s="550"/>
      <c r="P93" s="551">
        <f t="shared" ref="P93:P99" si="4">N93*L93</f>
        <v>359.65800000000002</v>
      </c>
      <c r="Q93" s="550"/>
      <c r="R93" s="552"/>
      <c r="S93" s="552"/>
      <c r="T93" s="18"/>
      <c r="U93" s="18"/>
      <c r="V93" s="18"/>
    </row>
    <row r="94" spans="1:22" s="16" customFormat="1" ht="15.75" customHeight="1">
      <c r="A94" s="549" t="s">
        <v>4</v>
      </c>
      <c r="B94" s="549"/>
      <c r="C94" s="549"/>
      <c r="D94" s="549"/>
      <c r="E94" s="549"/>
      <c r="F94" s="549"/>
      <c r="G94" s="549"/>
      <c r="H94" s="549"/>
      <c r="I94" s="549"/>
      <c r="J94" s="550" t="s">
        <v>577</v>
      </c>
      <c r="K94" s="550"/>
      <c r="L94" s="550">
        <v>1</v>
      </c>
      <c r="M94" s="550"/>
      <c r="N94" s="551">
        <f>$G$196</f>
        <v>180.15</v>
      </c>
      <c r="O94" s="550"/>
      <c r="P94" s="551">
        <f t="shared" si="4"/>
        <v>180.15</v>
      </c>
      <c r="Q94" s="550"/>
      <c r="R94" s="552"/>
      <c r="S94" s="552"/>
      <c r="T94" s="18"/>
      <c r="U94" s="18"/>
      <c r="V94" s="18"/>
    </row>
    <row r="95" spans="1:22" s="16" customFormat="1" ht="15.75" customHeight="1">
      <c r="A95" s="549" t="s">
        <v>579</v>
      </c>
      <c r="B95" s="549"/>
      <c r="C95" s="549"/>
      <c r="D95" s="549"/>
      <c r="E95" s="549"/>
      <c r="F95" s="549"/>
      <c r="G95" s="549"/>
      <c r="H95" s="549"/>
      <c r="I95" s="549"/>
      <c r="J95" s="550" t="s">
        <v>577</v>
      </c>
      <c r="K95" s="550"/>
      <c r="L95" s="550">
        <v>1</v>
      </c>
      <c r="M95" s="550"/>
      <c r="N95" s="551">
        <f>(N94/12)*2</f>
        <v>30.025000000000002</v>
      </c>
      <c r="O95" s="550"/>
      <c r="P95" s="551">
        <f t="shared" si="4"/>
        <v>30.025000000000002</v>
      </c>
      <c r="Q95" s="550"/>
      <c r="R95" s="552"/>
      <c r="S95" s="552"/>
      <c r="T95" s="18"/>
      <c r="U95" s="18"/>
      <c r="V95" s="18"/>
    </row>
    <row r="96" spans="1:22" s="16" customFormat="1" ht="15.75" customHeight="1">
      <c r="A96" s="549" t="s">
        <v>580</v>
      </c>
      <c r="B96" s="549"/>
      <c r="C96" s="549"/>
      <c r="D96" s="549"/>
      <c r="E96" s="549"/>
      <c r="F96" s="549"/>
      <c r="G96" s="549"/>
      <c r="H96" s="549"/>
      <c r="I96" s="549"/>
      <c r="J96" s="550" t="s">
        <v>577</v>
      </c>
      <c r="K96" s="550"/>
      <c r="L96" s="550">
        <v>1</v>
      </c>
      <c r="M96" s="550"/>
      <c r="N96" s="551">
        <f>'BANCO DE DADOS'!$K$15</f>
        <v>37</v>
      </c>
      <c r="O96" s="550"/>
      <c r="P96" s="551">
        <f t="shared" si="4"/>
        <v>37</v>
      </c>
      <c r="Q96" s="550"/>
      <c r="R96" s="552"/>
      <c r="S96" s="552"/>
      <c r="T96" s="18"/>
      <c r="U96" s="18"/>
      <c r="V96" s="18"/>
    </row>
    <row r="97" spans="1:22" s="16" customFormat="1" ht="15.75" customHeight="1">
      <c r="A97" s="549" t="s">
        <v>244</v>
      </c>
      <c r="B97" s="549"/>
      <c r="C97" s="549"/>
      <c r="D97" s="549"/>
      <c r="E97" s="549"/>
      <c r="F97" s="549"/>
      <c r="G97" s="549"/>
      <c r="H97" s="549"/>
      <c r="I97" s="549"/>
      <c r="J97" s="550" t="s">
        <v>577</v>
      </c>
      <c r="K97" s="550"/>
      <c r="L97" s="550">
        <v>1</v>
      </c>
      <c r="M97" s="550"/>
      <c r="N97" s="551">
        <f>'BANCO DE DADOS'!$K$16</f>
        <v>12.91</v>
      </c>
      <c r="O97" s="550"/>
      <c r="P97" s="551">
        <f t="shared" si="4"/>
        <v>12.91</v>
      </c>
      <c r="Q97" s="550"/>
      <c r="R97" s="552"/>
      <c r="S97" s="552"/>
      <c r="T97" s="18"/>
      <c r="U97" s="18"/>
      <c r="V97" s="18"/>
    </row>
    <row r="98" spans="1:22" s="16" customFormat="1" ht="15.75" customHeight="1">
      <c r="A98" s="549" t="s">
        <v>581</v>
      </c>
      <c r="B98" s="549"/>
      <c r="C98" s="549"/>
      <c r="D98" s="549"/>
      <c r="E98" s="549"/>
      <c r="F98" s="549"/>
      <c r="G98" s="549"/>
      <c r="H98" s="549"/>
      <c r="I98" s="549"/>
      <c r="J98" s="550" t="s">
        <v>577</v>
      </c>
      <c r="K98" s="550"/>
      <c r="L98" s="550">
        <v>1</v>
      </c>
      <c r="M98" s="550"/>
      <c r="N98" s="551">
        <f>'BANCO DE DADOS'!$K$17</f>
        <v>32</v>
      </c>
      <c r="O98" s="550"/>
      <c r="P98" s="551">
        <f t="shared" si="4"/>
        <v>32</v>
      </c>
      <c r="Q98" s="550"/>
      <c r="R98" s="552"/>
      <c r="S98" s="552"/>
      <c r="T98" s="18"/>
      <c r="U98" s="18"/>
      <c r="V98" s="18"/>
    </row>
    <row r="99" spans="1:22" s="16" customFormat="1" ht="15.75" customHeight="1">
      <c r="A99" s="549" t="s">
        <v>582</v>
      </c>
      <c r="B99" s="549"/>
      <c r="C99" s="549"/>
      <c r="D99" s="549"/>
      <c r="E99" s="549"/>
      <c r="F99" s="549"/>
      <c r="G99" s="549"/>
      <c r="H99" s="549"/>
      <c r="I99" s="549"/>
      <c r="J99" s="550" t="s">
        <v>577</v>
      </c>
      <c r="K99" s="550"/>
      <c r="L99" s="550">
        <v>1</v>
      </c>
      <c r="M99" s="550"/>
      <c r="N99" s="551">
        <f>$J$223</f>
        <v>28.720000000000002</v>
      </c>
      <c r="O99" s="550"/>
      <c r="P99" s="551">
        <f t="shared" si="4"/>
        <v>28.720000000000002</v>
      </c>
      <c r="Q99" s="550"/>
      <c r="R99" s="552"/>
      <c r="S99" s="552"/>
      <c r="T99" s="18"/>
      <c r="U99" s="18"/>
      <c r="V99" s="18"/>
    </row>
    <row r="100" spans="1:22" s="16" customFormat="1" ht="15.75" customHeight="1">
      <c r="A100" s="561" t="s">
        <v>583</v>
      </c>
      <c r="B100" s="562"/>
      <c r="C100" s="562"/>
      <c r="D100" s="562"/>
      <c r="E100" s="562"/>
      <c r="F100" s="562"/>
      <c r="G100" s="562"/>
      <c r="H100" s="562"/>
      <c r="I100" s="562"/>
      <c r="J100" s="562"/>
      <c r="K100" s="562"/>
      <c r="L100" s="562"/>
      <c r="M100" s="562"/>
      <c r="N100" s="562"/>
      <c r="O100" s="563"/>
      <c r="P100" s="560">
        <f>SUM(P90:Q99)</f>
        <v>3537.1946000000003</v>
      </c>
      <c r="Q100" s="555"/>
      <c r="R100" s="565"/>
      <c r="S100" s="565"/>
      <c r="T100" s="18"/>
      <c r="U100" s="18"/>
      <c r="V100" s="18"/>
    </row>
    <row r="101" spans="1:22" s="16" customFormat="1" ht="15.75" customHeight="1">
      <c r="A101" s="549" t="s">
        <v>584</v>
      </c>
      <c r="B101" s="549"/>
      <c r="C101" s="549"/>
      <c r="D101" s="549"/>
      <c r="E101" s="549"/>
      <c r="F101" s="549"/>
      <c r="G101" s="549"/>
      <c r="H101" s="549"/>
      <c r="I101" s="549"/>
      <c r="J101" s="550" t="s">
        <v>585</v>
      </c>
      <c r="K101" s="550"/>
      <c r="L101" s="550">
        <f>R31</f>
        <v>2</v>
      </c>
      <c r="M101" s="550"/>
      <c r="N101" s="551">
        <f>P100</f>
        <v>3537.1946000000003</v>
      </c>
      <c r="O101" s="550"/>
      <c r="P101" s="551">
        <f>N101*L101</f>
        <v>7074.3892000000005</v>
      </c>
      <c r="Q101" s="550"/>
      <c r="R101" s="552"/>
      <c r="S101" s="552"/>
      <c r="T101" s="18"/>
      <c r="U101" s="18"/>
      <c r="V101" s="18"/>
    </row>
    <row r="102" spans="1:22" s="16" customFormat="1" ht="15.75" customHeight="1">
      <c r="A102" s="556" t="s">
        <v>587</v>
      </c>
      <c r="B102" s="557"/>
      <c r="C102" s="557"/>
      <c r="D102" s="557"/>
      <c r="E102" s="557"/>
      <c r="F102" s="557"/>
      <c r="G102" s="557"/>
      <c r="H102" s="557"/>
      <c r="I102" s="557"/>
      <c r="J102" s="557"/>
      <c r="K102" s="557"/>
      <c r="L102" s="557"/>
      <c r="M102" s="557"/>
      <c r="N102" s="557"/>
      <c r="O102" s="558"/>
      <c r="P102" s="559">
        <v>1</v>
      </c>
      <c r="Q102" s="559"/>
      <c r="R102" s="560">
        <f>P101*P102</f>
        <v>7074.3892000000005</v>
      </c>
      <c r="S102" s="555"/>
      <c r="T102" s="18"/>
      <c r="U102" s="18"/>
      <c r="V102" s="18"/>
    </row>
    <row r="103" spans="1:22" s="16" customFormat="1" ht="15.6">
      <c r="A103" s="400" t="str">
        <f>A32</f>
        <v>1.5</v>
      </c>
      <c r="B103" s="390" t="str">
        <f>B32</f>
        <v>Auxiliar de Serviços Gerais</v>
      </c>
      <c r="C103" s="31"/>
      <c r="D103" s="31"/>
      <c r="E103" s="31"/>
      <c r="F103" s="31"/>
      <c r="G103" s="39"/>
      <c r="H103" s="19"/>
      <c r="I103" s="42"/>
      <c r="J103" s="19"/>
      <c r="K103" s="19"/>
      <c r="L103" s="19"/>
      <c r="M103" s="19"/>
      <c r="N103" s="19"/>
      <c r="O103" s="19"/>
      <c r="P103" s="19"/>
      <c r="Q103" s="19"/>
      <c r="R103" s="20"/>
      <c r="S103" s="19"/>
      <c r="T103" s="18"/>
      <c r="U103" s="18"/>
      <c r="V103" s="18"/>
    </row>
    <row r="104" spans="1:22" s="16" customFormat="1" ht="15.75" customHeight="1">
      <c r="A104" s="554" t="s">
        <v>569</v>
      </c>
      <c r="B104" s="554"/>
      <c r="C104" s="554"/>
      <c r="D104" s="554"/>
      <c r="E104" s="554"/>
      <c r="F104" s="554"/>
      <c r="G104" s="554"/>
      <c r="H104" s="554"/>
      <c r="I104" s="554"/>
      <c r="J104" s="555" t="s">
        <v>24</v>
      </c>
      <c r="K104" s="555"/>
      <c r="L104" s="555" t="s">
        <v>36</v>
      </c>
      <c r="M104" s="555"/>
      <c r="N104" s="555" t="s">
        <v>570</v>
      </c>
      <c r="O104" s="555"/>
      <c r="P104" s="555" t="s">
        <v>571</v>
      </c>
      <c r="Q104" s="555"/>
      <c r="R104" s="555" t="s">
        <v>572</v>
      </c>
      <c r="S104" s="555"/>
      <c r="T104" s="18"/>
      <c r="U104" s="18"/>
      <c r="V104" s="18"/>
    </row>
    <row r="105" spans="1:22" s="16" customFormat="1" ht="15.75" customHeight="1">
      <c r="A105" s="549" t="s">
        <v>568</v>
      </c>
      <c r="B105" s="549"/>
      <c r="C105" s="549"/>
      <c r="D105" s="549"/>
      <c r="E105" s="549"/>
      <c r="F105" s="549"/>
      <c r="G105" s="549"/>
      <c r="H105" s="549"/>
      <c r="I105" s="549"/>
      <c r="J105" s="550" t="s">
        <v>573</v>
      </c>
      <c r="K105" s="550"/>
      <c r="L105" s="550">
        <v>1</v>
      </c>
      <c r="M105" s="550"/>
      <c r="N105" s="551">
        <f>G190</f>
        <v>1045</v>
      </c>
      <c r="O105" s="550"/>
      <c r="P105" s="551">
        <f>N105*L105</f>
        <v>1045</v>
      </c>
      <c r="Q105" s="550"/>
      <c r="R105" s="552"/>
      <c r="S105" s="552"/>
      <c r="T105" s="18"/>
      <c r="U105" s="18"/>
      <c r="V105" s="18"/>
    </row>
    <row r="106" spans="1:22" s="16" customFormat="1" ht="15.75" customHeight="1">
      <c r="A106" s="561" t="s">
        <v>571</v>
      </c>
      <c r="B106" s="562"/>
      <c r="C106" s="562"/>
      <c r="D106" s="562"/>
      <c r="E106" s="562"/>
      <c r="F106" s="562"/>
      <c r="G106" s="562"/>
      <c r="H106" s="562"/>
      <c r="I106" s="562"/>
      <c r="J106" s="562"/>
      <c r="K106" s="562"/>
      <c r="L106" s="562"/>
      <c r="M106" s="562"/>
      <c r="N106" s="562"/>
      <c r="O106" s="563"/>
      <c r="P106" s="560">
        <f>SUM(P105:Q105)</f>
        <v>1045</v>
      </c>
      <c r="Q106" s="555"/>
      <c r="R106" s="552"/>
      <c r="S106" s="552"/>
      <c r="T106" s="18"/>
      <c r="U106" s="18"/>
      <c r="V106" s="18"/>
    </row>
    <row r="107" spans="1:22" s="16" customFormat="1" ht="15.75" customHeight="1">
      <c r="A107" s="549" t="s">
        <v>1</v>
      </c>
      <c r="B107" s="549"/>
      <c r="C107" s="549"/>
      <c r="D107" s="549"/>
      <c r="E107" s="549"/>
      <c r="F107" s="549"/>
      <c r="G107" s="549"/>
      <c r="H107" s="549"/>
      <c r="I107" s="549"/>
      <c r="J107" s="550" t="s">
        <v>542</v>
      </c>
      <c r="K107" s="550"/>
      <c r="L107" s="564">
        <f>$G$193</f>
        <v>0.85355440000000016</v>
      </c>
      <c r="M107" s="564"/>
      <c r="N107" s="551">
        <f>P106</f>
        <v>1045</v>
      </c>
      <c r="O107" s="550"/>
      <c r="P107" s="551">
        <f>L107*N107</f>
        <v>891.9643480000002</v>
      </c>
      <c r="Q107" s="550"/>
      <c r="R107" s="552"/>
      <c r="S107" s="552"/>
      <c r="T107" s="18"/>
      <c r="U107" s="18"/>
      <c r="V107" s="18"/>
    </row>
    <row r="108" spans="1:22" s="16" customFormat="1" ht="15.75" customHeight="1">
      <c r="A108" s="549" t="s">
        <v>586</v>
      </c>
      <c r="B108" s="549"/>
      <c r="C108" s="549"/>
      <c r="D108" s="549"/>
      <c r="E108" s="549"/>
      <c r="F108" s="549"/>
      <c r="G108" s="549"/>
      <c r="H108" s="549"/>
      <c r="I108" s="549"/>
      <c r="J108" s="550" t="s">
        <v>577</v>
      </c>
      <c r="K108" s="550"/>
      <c r="L108" s="576">
        <v>0.06</v>
      </c>
      <c r="M108" s="630"/>
      <c r="N108" s="551">
        <f>$I$194</f>
        <v>166.4</v>
      </c>
      <c r="O108" s="550"/>
      <c r="P108" s="551">
        <f>N108-N105*L108</f>
        <v>103.70000000000002</v>
      </c>
      <c r="Q108" s="550"/>
      <c r="R108" s="552"/>
      <c r="S108" s="552"/>
      <c r="T108" s="18"/>
      <c r="U108" s="18"/>
      <c r="V108" s="18"/>
    </row>
    <row r="109" spans="1:22" s="16" customFormat="1" ht="15.75" customHeight="1">
      <c r="A109" s="549" t="s">
        <v>588</v>
      </c>
      <c r="B109" s="549"/>
      <c r="C109" s="549"/>
      <c r="D109" s="549"/>
      <c r="E109" s="549"/>
      <c r="F109" s="549"/>
      <c r="G109" s="549"/>
      <c r="H109" s="549"/>
      <c r="I109" s="549"/>
      <c r="J109" s="550" t="s">
        <v>578</v>
      </c>
      <c r="K109" s="550"/>
      <c r="L109" s="550">
        <v>26</v>
      </c>
      <c r="M109" s="550"/>
      <c r="N109" s="551">
        <f>$G$198*0.9</f>
        <v>13.833</v>
      </c>
      <c r="O109" s="550"/>
      <c r="P109" s="551">
        <f t="shared" ref="P109:P115" si="5">N109*L109</f>
        <v>359.65800000000002</v>
      </c>
      <c r="Q109" s="550"/>
      <c r="R109" s="552"/>
      <c r="S109" s="552"/>
      <c r="T109" s="18"/>
      <c r="U109" s="18"/>
      <c r="V109" s="18"/>
    </row>
    <row r="110" spans="1:22" s="16" customFormat="1" ht="15.75" customHeight="1">
      <c r="A110" s="549" t="s">
        <v>4</v>
      </c>
      <c r="B110" s="549"/>
      <c r="C110" s="549"/>
      <c r="D110" s="549"/>
      <c r="E110" s="549"/>
      <c r="F110" s="549"/>
      <c r="G110" s="549"/>
      <c r="H110" s="549"/>
      <c r="I110" s="549"/>
      <c r="J110" s="550" t="s">
        <v>577</v>
      </c>
      <c r="K110" s="550"/>
      <c r="L110" s="550">
        <v>1</v>
      </c>
      <c r="M110" s="550"/>
      <c r="N110" s="551">
        <f>$G$196</f>
        <v>180.15</v>
      </c>
      <c r="O110" s="550"/>
      <c r="P110" s="551">
        <f t="shared" si="5"/>
        <v>180.15</v>
      </c>
      <c r="Q110" s="550"/>
      <c r="R110" s="552"/>
      <c r="S110" s="552"/>
      <c r="T110" s="18"/>
      <c r="U110" s="18"/>
      <c r="V110" s="18"/>
    </row>
    <row r="111" spans="1:22" s="16" customFormat="1" ht="15.75" customHeight="1">
      <c r="A111" s="549" t="s">
        <v>579</v>
      </c>
      <c r="B111" s="549"/>
      <c r="C111" s="549"/>
      <c r="D111" s="549"/>
      <c r="E111" s="549"/>
      <c r="F111" s="549"/>
      <c r="G111" s="549"/>
      <c r="H111" s="549"/>
      <c r="I111" s="549"/>
      <c r="J111" s="550" t="s">
        <v>577</v>
      </c>
      <c r="K111" s="550"/>
      <c r="L111" s="550">
        <v>1</v>
      </c>
      <c r="M111" s="550"/>
      <c r="N111" s="551">
        <f>(N110/12)*2</f>
        <v>30.025000000000002</v>
      </c>
      <c r="O111" s="550"/>
      <c r="P111" s="551">
        <f t="shared" si="5"/>
        <v>30.025000000000002</v>
      </c>
      <c r="Q111" s="550"/>
      <c r="R111" s="552"/>
      <c r="S111" s="552"/>
      <c r="T111" s="18"/>
      <c r="U111" s="18"/>
      <c r="V111" s="18"/>
    </row>
    <row r="112" spans="1:22" s="16" customFormat="1" ht="15.75" customHeight="1">
      <c r="A112" s="549" t="s">
        <v>580</v>
      </c>
      <c r="B112" s="549"/>
      <c r="C112" s="549"/>
      <c r="D112" s="549"/>
      <c r="E112" s="549"/>
      <c r="F112" s="549"/>
      <c r="G112" s="549"/>
      <c r="H112" s="549"/>
      <c r="I112" s="549"/>
      <c r="J112" s="550" t="s">
        <v>577</v>
      </c>
      <c r="K112" s="550"/>
      <c r="L112" s="550">
        <v>1</v>
      </c>
      <c r="M112" s="550"/>
      <c r="N112" s="551">
        <f>'BANCO DE DADOS'!$K$15</f>
        <v>37</v>
      </c>
      <c r="O112" s="550"/>
      <c r="P112" s="551">
        <f t="shared" si="5"/>
        <v>37</v>
      </c>
      <c r="Q112" s="550"/>
      <c r="R112" s="552"/>
      <c r="S112" s="552"/>
      <c r="T112" s="18"/>
      <c r="U112" s="18"/>
      <c r="V112" s="18"/>
    </row>
    <row r="113" spans="1:22" s="16" customFormat="1" ht="15.75" customHeight="1">
      <c r="A113" s="549" t="s">
        <v>244</v>
      </c>
      <c r="B113" s="549"/>
      <c r="C113" s="549"/>
      <c r="D113" s="549"/>
      <c r="E113" s="549"/>
      <c r="F113" s="549"/>
      <c r="G113" s="549"/>
      <c r="H113" s="549"/>
      <c r="I113" s="549"/>
      <c r="J113" s="550" t="s">
        <v>577</v>
      </c>
      <c r="K113" s="550"/>
      <c r="L113" s="550">
        <v>1</v>
      </c>
      <c r="M113" s="550"/>
      <c r="N113" s="551">
        <f>'BANCO DE DADOS'!$K$16</f>
        <v>12.91</v>
      </c>
      <c r="O113" s="550"/>
      <c r="P113" s="551">
        <f t="shared" si="5"/>
        <v>12.91</v>
      </c>
      <c r="Q113" s="550"/>
      <c r="R113" s="552"/>
      <c r="S113" s="552"/>
      <c r="T113" s="18"/>
      <c r="U113" s="18"/>
      <c r="V113" s="18"/>
    </row>
    <row r="114" spans="1:22" s="16" customFormat="1" ht="15.75" customHeight="1">
      <c r="A114" s="549" t="s">
        <v>581</v>
      </c>
      <c r="B114" s="549"/>
      <c r="C114" s="549"/>
      <c r="D114" s="549"/>
      <c r="E114" s="549"/>
      <c r="F114" s="549"/>
      <c r="G114" s="549"/>
      <c r="H114" s="549"/>
      <c r="I114" s="549"/>
      <c r="J114" s="550" t="s">
        <v>577</v>
      </c>
      <c r="K114" s="550"/>
      <c r="L114" s="550">
        <v>1</v>
      </c>
      <c r="M114" s="550"/>
      <c r="N114" s="551">
        <f>'BANCO DE DADOS'!$K$17</f>
        <v>32</v>
      </c>
      <c r="O114" s="550"/>
      <c r="P114" s="551">
        <f t="shared" si="5"/>
        <v>32</v>
      </c>
      <c r="Q114" s="550"/>
      <c r="R114" s="552"/>
      <c r="S114" s="552"/>
      <c r="T114" s="18"/>
      <c r="U114" s="18"/>
      <c r="V114" s="18"/>
    </row>
    <row r="115" spans="1:22" s="16" customFormat="1" ht="15.75" customHeight="1">
      <c r="A115" s="549" t="s">
        <v>582</v>
      </c>
      <c r="B115" s="549"/>
      <c r="C115" s="549"/>
      <c r="D115" s="549"/>
      <c r="E115" s="549"/>
      <c r="F115" s="549"/>
      <c r="G115" s="549"/>
      <c r="H115" s="549"/>
      <c r="I115" s="549"/>
      <c r="J115" s="550" t="s">
        <v>577</v>
      </c>
      <c r="K115" s="550"/>
      <c r="L115" s="550">
        <v>1</v>
      </c>
      <c r="M115" s="550"/>
      <c r="N115" s="551">
        <f>$J$223</f>
        <v>28.720000000000002</v>
      </c>
      <c r="O115" s="550"/>
      <c r="P115" s="551">
        <f t="shared" si="5"/>
        <v>28.720000000000002</v>
      </c>
      <c r="Q115" s="550"/>
      <c r="R115" s="552"/>
      <c r="S115" s="552"/>
      <c r="T115" s="18"/>
      <c r="U115" s="18"/>
      <c r="V115" s="18"/>
    </row>
    <row r="116" spans="1:22" s="16" customFormat="1" ht="15.75" customHeight="1">
      <c r="A116" s="561" t="s">
        <v>583</v>
      </c>
      <c r="B116" s="562"/>
      <c r="C116" s="562"/>
      <c r="D116" s="562"/>
      <c r="E116" s="562"/>
      <c r="F116" s="562"/>
      <c r="G116" s="562"/>
      <c r="H116" s="562"/>
      <c r="I116" s="562"/>
      <c r="J116" s="562"/>
      <c r="K116" s="562"/>
      <c r="L116" s="562"/>
      <c r="M116" s="562"/>
      <c r="N116" s="562"/>
      <c r="O116" s="563"/>
      <c r="P116" s="560">
        <f>SUM(P106:Q115)</f>
        <v>2721.127348</v>
      </c>
      <c r="Q116" s="555"/>
      <c r="R116" s="565"/>
      <c r="S116" s="565"/>
      <c r="T116" s="18"/>
      <c r="U116" s="18"/>
      <c r="V116" s="18"/>
    </row>
    <row r="117" spans="1:22" s="16" customFormat="1" ht="15.75" customHeight="1">
      <c r="A117" s="549" t="s">
        <v>584</v>
      </c>
      <c r="B117" s="549"/>
      <c r="C117" s="549"/>
      <c r="D117" s="549"/>
      <c r="E117" s="549"/>
      <c r="F117" s="549"/>
      <c r="G117" s="549"/>
      <c r="H117" s="549"/>
      <c r="I117" s="549"/>
      <c r="J117" s="550" t="s">
        <v>585</v>
      </c>
      <c r="K117" s="550"/>
      <c r="L117" s="550">
        <f>R32</f>
        <v>1</v>
      </c>
      <c r="M117" s="550"/>
      <c r="N117" s="551">
        <f>P116</f>
        <v>2721.127348</v>
      </c>
      <c r="O117" s="550"/>
      <c r="P117" s="551">
        <f>N117*L117</f>
        <v>2721.127348</v>
      </c>
      <c r="Q117" s="550"/>
      <c r="R117" s="552"/>
      <c r="S117" s="552"/>
      <c r="T117" s="18"/>
      <c r="U117" s="18"/>
      <c r="V117" s="18"/>
    </row>
    <row r="118" spans="1:22" s="16" customFormat="1" ht="15.75" customHeight="1">
      <c r="A118" s="556" t="s">
        <v>587</v>
      </c>
      <c r="B118" s="557"/>
      <c r="C118" s="557"/>
      <c r="D118" s="557"/>
      <c r="E118" s="557"/>
      <c r="F118" s="557"/>
      <c r="G118" s="557"/>
      <c r="H118" s="557"/>
      <c r="I118" s="557"/>
      <c r="J118" s="557"/>
      <c r="K118" s="557"/>
      <c r="L118" s="557"/>
      <c r="M118" s="557"/>
      <c r="N118" s="557"/>
      <c r="O118" s="558"/>
      <c r="P118" s="559">
        <v>1</v>
      </c>
      <c r="Q118" s="559"/>
      <c r="R118" s="560">
        <f>P117*P118</f>
        <v>2721.127348</v>
      </c>
      <c r="S118" s="555"/>
      <c r="T118" s="18"/>
      <c r="U118" s="18"/>
      <c r="V118" s="18"/>
    </row>
    <row r="119" spans="1:22" s="16" customFormat="1" ht="15.6">
      <c r="A119" s="400" t="str">
        <f>A33</f>
        <v>1.6</v>
      </c>
      <c r="B119" s="390" t="str">
        <f>B33</f>
        <v>Mecânico</v>
      </c>
      <c r="C119" s="31"/>
      <c r="D119" s="31"/>
      <c r="E119" s="31"/>
      <c r="F119" s="31"/>
      <c r="G119" s="39"/>
      <c r="H119" s="19"/>
      <c r="I119" s="42"/>
      <c r="J119" s="19"/>
      <c r="K119" s="19"/>
      <c r="L119" s="19"/>
      <c r="M119" s="19"/>
      <c r="N119" s="19"/>
      <c r="O119" s="19"/>
      <c r="P119" s="19"/>
      <c r="Q119" s="19"/>
      <c r="R119" s="20"/>
      <c r="S119" s="19"/>
      <c r="T119" s="18"/>
      <c r="U119" s="18"/>
      <c r="V119" s="18"/>
    </row>
    <row r="120" spans="1:22" s="16" customFormat="1" ht="15.75" customHeight="1">
      <c r="A120" s="554" t="s">
        <v>569</v>
      </c>
      <c r="B120" s="554"/>
      <c r="C120" s="554"/>
      <c r="D120" s="554"/>
      <c r="E120" s="554"/>
      <c r="F120" s="554"/>
      <c r="G120" s="554"/>
      <c r="H120" s="554"/>
      <c r="I120" s="554"/>
      <c r="J120" s="555" t="s">
        <v>24</v>
      </c>
      <c r="K120" s="555"/>
      <c r="L120" s="555" t="s">
        <v>36</v>
      </c>
      <c r="M120" s="555"/>
      <c r="N120" s="555" t="s">
        <v>570</v>
      </c>
      <c r="O120" s="555"/>
      <c r="P120" s="555" t="s">
        <v>571</v>
      </c>
      <c r="Q120" s="555"/>
      <c r="R120" s="555" t="s">
        <v>572</v>
      </c>
      <c r="S120" s="555"/>
      <c r="T120" s="18"/>
      <c r="U120" s="18"/>
      <c r="V120" s="18"/>
    </row>
    <row r="121" spans="1:22" s="16" customFormat="1" ht="15.75" customHeight="1">
      <c r="A121" s="549" t="s">
        <v>568</v>
      </c>
      <c r="B121" s="549"/>
      <c r="C121" s="549"/>
      <c r="D121" s="549"/>
      <c r="E121" s="549"/>
      <c r="F121" s="549"/>
      <c r="G121" s="549"/>
      <c r="H121" s="549"/>
      <c r="I121" s="549"/>
      <c r="J121" s="550" t="s">
        <v>573</v>
      </c>
      <c r="K121" s="550"/>
      <c r="L121" s="550">
        <v>1</v>
      </c>
      <c r="M121" s="550"/>
      <c r="N121" s="551">
        <v>2500</v>
      </c>
      <c r="O121" s="550"/>
      <c r="P121" s="551">
        <f>N121*L121</f>
        <v>2500</v>
      </c>
      <c r="Q121" s="550"/>
      <c r="R121" s="552"/>
      <c r="S121" s="552"/>
      <c r="T121" s="18"/>
      <c r="U121" s="18"/>
      <c r="V121" s="18"/>
    </row>
    <row r="122" spans="1:22" s="16" customFormat="1" ht="15.75" customHeight="1">
      <c r="A122" s="549" t="s">
        <v>68</v>
      </c>
      <c r="B122" s="549"/>
      <c r="C122" s="549"/>
      <c r="D122" s="549"/>
      <c r="E122" s="549"/>
      <c r="F122" s="549"/>
      <c r="G122" s="549"/>
      <c r="H122" s="549"/>
      <c r="I122" s="549"/>
      <c r="J122" s="550" t="s">
        <v>542</v>
      </c>
      <c r="K122" s="550"/>
      <c r="L122" s="576">
        <v>0.4</v>
      </c>
      <c r="M122" s="577"/>
      <c r="N122" s="551">
        <f>$G$190</f>
        <v>1045</v>
      </c>
      <c r="O122" s="550"/>
      <c r="P122" s="551">
        <f>N122*L122</f>
        <v>418</v>
      </c>
      <c r="Q122" s="550"/>
      <c r="R122" s="552"/>
      <c r="S122" s="552"/>
      <c r="T122" s="18"/>
      <c r="U122" s="18"/>
      <c r="V122" s="18"/>
    </row>
    <row r="123" spans="1:22" s="16" customFormat="1" ht="15.75" customHeight="1">
      <c r="A123" s="561" t="s">
        <v>571</v>
      </c>
      <c r="B123" s="562"/>
      <c r="C123" s="562"/>
      <c r="D123" s="562"/>
      <c r="E123" s="562"/>
      <c r="F123" s="562"/>
      <c r="G123" s="562"/>
      <c r="H123" s="562"/>
      <c r="I123" s="562"/>
      <c r="J123" s="562"/>
      <c r="K123" s="562"/>
      <c r="L123" s="562"/>
      <c r="M123" s="562"/>
      <c r="N123" s="562"/>
      <c r="O123" s="563"/>
      <c r="P123" s="560">
        <f>SUM(P121:Q122)</f>
        <v>2918</v>
      </c>
      <c r="Q123" s="555"/>
      <c r="R123" s="552"/>
      <c r="S123" s="552"/>
      <c r="T123" s="18"/>
      <c r="U123" s="18"/>
      <c r="V123" s="18"/>
    </row>
    <row r="124" spans="1:22" s="16" customFormat="1" ht="15.75" customHeight="1">
      <c r="A124" s="549" t="s">
        <v>1</v>
      </c>
      <c r="B124" s="549"/>
      <c r="C124" s="549"/>
      <c r="D124" s="549"/>
      <c r="E124" s="549"/>
      <c r="F124" s="549"/>
      <c r="G124" s="549"/>
      <c r="H124" s="549"/>
      <c r="I124" s="549"/>
      <c r="J124" s="550" t="s">
        <v>542</v>
      </c>
      <c r="K124" s="550"/>
      <c r="L124" s="564">
        <f>$G$193</f>
        <v>0.85355440000000016</v>
      </c>
      <c r="M124" s="564"/>
      <c r="N124" s="551">
        <f>P123</f>
        <v>2918</v>
      </c>
      <c r="O124" s="550"/>
      <c r="P124" s="551">
        <f>L124*N124</f>
        <v>2490.6717392000005</v>
      </c>
      <c r="Q124" s="550"/>
      <c r="R124" s="552"/>
      <c r="S124" s="552"/>
      <c r="T124" s="18"/>
      <c r="U124" s="18"/>
      <c r="V124" s="18"/>
    </row>
    <row r="125" spans="1:22" s="16" customFormat="1" ht="15.75" customHeight="1">
      <c r="A125" s="549" t="s">
        <v>586</v>
      </c>
      <c r="B125" s="549"/>
      <c r="C125" s="549"/>
      <c r="D125" s="549"/>
      <c r="E125" s="549"/>
      <c r="F125" s="549"/>
      <c r="G125" s="549"/>
      <c r="H125" s="549"/>
      <c r="I125" s="549"/>
      <c r="J125" s="550" t="s">
        <v>577</v>
      </c>
      <c r="K125" s="550"/>
      <c r="L125" s="576">
        <v>0.06</v>
      </c>
      <c r="M125" s="630"/>
      <c r="N125" s="551">
        <f>$I$194</f>
        <v>166.4</v>
      </c>
      <c r="O125" s="550"/>
      <c r="P125" s="551">
        <f>N125-N121*L125</f>
        <v>16.400000000000006</v>
      </c>
      <c r="Q125" s="550"/>
      <c r="R125" s="552"/>
      <c r="S125" s="552"/>
      <c r="T125" s="18"/>
      <c r="U125" s="18"/>
      <c r="V125" s="18"/>
    </row>
    <row r="126" spans="1:22" s="16" customFormat="1" ht="15.75" customHeight="1">
      <c r="A126" s="549" t="s">
        <v>588</v>
      </c>
      <c r="B126" s="549"/>
      <c r="C126" s="549"/>
      <c r="D126" s="549"/>
      <c r="E126" s="549"/>
      <c r="F126" s="549"/>
      <c r="G126" s="549"/>
      <c r="H126" s="549"/>
      <c r="I126" s="549"/>
      <c r="J126" s="550" t="s">
        <v>578</v>
      </c>
      <c r="K126" s="550"/>
      <c r="L126" s="550">
        <v>26</v>
      </c>
      <c r="M126" s="550"/>
      <c r="N126" s="551">
        <f>$G$198*0.9</f>
        <v>13.833</v>
      </c>
      <c r="O126" s="550"/>
      <c r="P126" s="551">
        <f t="shared" ref="P126:P132" si="6">N126*L126</f>
        <v>359.65800000000002</v>
      </c>
      <c r="Q126" s="550"/>
      <c r="R126" s="552"/>
      <c r="S126" s="552"/>
      <c r="T126" s="18"/>
      <c r="U126" s="18"/>
      <c r="V126" s="18"/>
    </row>
    <row r="127" spans="1:22" s="16" customFormat="1" ht="15.75" customHeight="1">
      <c r="A127" s="549" t="s">
        <v>4</v>
      </c>
      <c r="B127" s="549"/>
      <c r="C127" s="549"/>
      <c r="D127" s="549"/>
      <c r="E127" s="549"/>
      <c r="F127" s="549"/>
      <c r="G127" s="549"/>
      <c r="H127" s="549"/>
      <c r="I127" s="549"/>
      <c r="J127" s="550" t="s">
        <v>577</v>
      </c>
      <c r="K127" s="550"/>
      <c r="L127" s="550">
        <v>1</v>
      </c>
      <c r="M127" s="550"/>
      <c r="N127" s="551">
        <f>$G$196</f>
        <v>180.15</v>
      </c>
      <c r="O127" s="550"/>
      <c r="P127" s="551">
        <f t="shared" si="6"/>
        <v>180.15</v>
      </c>
      <c r="Q127" s="550"/>
      <c r="R127" s="552"/>
      <c r="S127" s="552"/>
      <c r="T127" s="18"/>
      <c r="U127" s="18"/>
      <c r="V127" s="18"/>
    </row>
    <row r="128" spans="1:22" s="16" customFormat="1" ht="15.75" customHeight="1">
      <c r="A128" s="549" t="s">
        <v>579</v>
      </c>
      <c r="B128" s="549"/>
      <c r="C128" s="549"/>
      <c r="D128" s="549"/>
      <c r="E128" s="549"/>
      <c r="F128" s="549"/>
      <c r="G128" s="549"/>
      <c r="H128" s="549"/>
      <c r="I128" s="549"/>
      <c r="J128" s="550" t="s">
        <v>577</v>
      </c>
      <c r="K128" s="550"/>
      <c r="L128" s="550">
        <v>1</v>
      </c>
      <c r="M128" s="550"/>
      <c r="N128" s="551">
        <f>(N127/12)*2</f>
        <v>30.025000000000002</v>
      </c>
      <c r="O128" s="550"/>
      <c r="P128" s="551">
        <f t="shared" si="6"/>
        <v>30.025000000000002</v>
      </c>
      <c r="Q128" s="550"/>
      <c r="R128" s="552"/>
      <c r="S128" s="552"/>
      <c r="T128" s="18"/>
      <c r="U128" s="18"/>
      <c r="V128" s="18"/>
    </row>
    <row r="129" spans="1:22" s="16" customFormat="1" ht="15.75" customHeight="1">
      <c r="A129" s="549" t="s">
        <v>580</v>
      </c>
      <c r="B129" s="549"/>
      <c r="C129" s="549"/>
      <c r="D129" s="549"/>
      <c r="E129" s="549"/>
      <c r="F129" s="549"/>
      <c r="G129" s="549"/>
      <c r="H129" s="549"/>
      <c r="I129" s="549"/>
      <c r="J129" s="550" t="s">
        <v>577</v>
      </c>
      <c r="K129" s="550"/>
      <c r="L129" s="550">
        <v>1</v>
      </c>
      <c r="M129" s="550"/>
      <c r="N129" s="551">
        <f>'BANCO DE DADOS'!$K$15</f>
        <v>37</v>
      </c>
      <c r="O129" s="550"/>
      <c r="P129" s="551">
        <f t="shared" si="6"/>
        <v>37</v>
      </c>
      <c r="Q129" s="550"/>
      <c r="R129" s="552"/>
      <c r="S129" s="552"/>
      <c r="T129" s="18"/>
      <c r="U129" s="18"/>
      <c r="V129" s="18"/>
    </row>
    <row r="130" spans="1:22" s="16" customFormat="1" ht="15.75" customHeight="1">
      <c r="A130" s="549" t="s">
        <v>244</v>
      </c>
      <c r="B130" s="549"/>
      <c r="C130" s="549"/>
      <c r="D130" s="549"/>
      <c r="E130" s="549"/>
      <c r="F130" s="549"/>
      <c r="G130" s="549"/>
      <c r="H130" s="549"/>
      <c r="I130" s="549"/>
      <c r="J130" s="550" t="s">
        <v>577</v>
      </c>
      <c r="K130" s="550"/>
      <c r="L130" s="550">
        <v>1</v>
      </c>
      <c r="M130" s="550"/>
      <c r="N130" s="551">
        <f>'BANCO DE DADOS'!$K$16</f>
        <v>12.91</v>
      </c>
      <c r="O130" s="550"/>
      <c r="P130" s="551">
        <f t="shared" si="6"/>
        <v>12.91</v>
      </c>
      <c r="Q130" s="550"/>
      <c r="R130" s="552"/>
      <c r="S130" s="552"/>
      <c r="T130" s="18"/>
      <c r="U130" s="18"/>
      <c r="V130" s="18"/>
    </row>
    <row r="131" spans="1:22" s="16" customFormat="1" ht="15.75" customHeight="1">
      <c r="A131" s="549" t="s">
        <v>581</v>
      </c>
      <c r="B131" s="549"/>
      <c r="C131" s="549"/>
      <c r="D131" s="549"/>
      <c r="E131" s="549"/>
      <c r="F131" s="549"/>
      <c r="G131" s="549"/>
      <c r="H131" s="549"/>
      <c r="I131" s="549"/>
      <c r="J131" s="550" t="s">
        <v>577</v>
      </c>
      <c r="K131" s="550"/>
      <c r="L131" s="550">
        <v>1</v>
      </c>
      <c r="M131" s="550"/>
      <c r="N131" s="551">
        <f>'BANCO DE DADOS'!$K$17</f>
        <v>32</v>
      </c>
      <c r="O131" s="550"/>
      <c r="P131" s="551">
        <f t="shared" si="6"/>
        <v>32</v>
      </c>
      <c r="Q131" s="550"/>
      <c r="R131" s="552"/>
      <c r="S131" s="552"/>
      <c r="T131" s="18"/>
      <c r="U131" s="18"/>
      <c r="V131" s="18"/>
    </row>
    <row r="132" spans="1:22" s="16" customFormat="1" ht="15.75" customHeight="1">
      <c r="A132" s="549" t="s">
        <v>582</v>
      </c>
      <c r="B132" s="549"/>
      <c r="C132" s="549"/>
      <c r="D132" s="549"/>
      <c r="E132" s="549"/>
      <c r="F132" s="549"/>
      <c r="G132" s="549"/>
      <c r="H132" s="549"/>
      <c r="I132" s="549"/>
      <c r="J132" s="550" t="s">
        <v>577</v>
      </c>
      <c r="K132" s="550"/>
      <c r="L132" s="550">
        <v>1</v>
      </c>
      <c r="M132" s="550"/>
      <c r="N132" s="551">
        <f>J217</f>
        <v>142.81</v>
      </c>
      <c r="O132" s="550"/>
      <c r="P132" s="551">
        <f t="shared" si="6"/>
        <v>142.81</v>
      </c>
      <c r="Q132" s="550"/>
      <c r="R132" s="552"/>
      <c r="S132" s="552"/>
      <c r="T132" s="18"/>
      <c r="U132" s="18"/>
      <c r="V132" s="18"/>
    </row>
    <row r="133" spans="1:22" s="16" customFormat="1" ht="15.75" customHeight="1">
      <c r="A133" s="561" t="s">
        <v>583</v>
      </c>
      <c r="B133" s="562"/>
      <c r="C133" s="562"/>
      <c r="D133" s="562"/>
      <c r="E133" s="562"/>
      <c r="F133" s="562"/>
      <c r="G133" s="562"/>
      <c r="H133" s="562"/>
      <c r="I133" s="562"/>
      <c r="J133" s="562"/>
      <c r="K133" s="562"/>
      <c r="L133" s="562"/>
      <c r="M133" s="562"/>
      <c r="N133" s="562"/>
      <c r="O133" s="563"/>
      <c r="P133" s="560">
        <f>SUM(P123:Q132)</f>
        <v>6219.6247392000005</v>
      </c>
      <c r="Q133" s="555"/>
      <c r="R133" s="565"/>
      <c r="S133" s="565"/>
      <c r="T133" s="18"/>
      <c r="U133" s="18"/>
      <c r="V133" s="18"/>
    </row>
    <row r="134" spans="1:22" s="16" customFormat="1" ht="15.75" customHeight="1">
      <c r="A134" s="549" t="s">
        <v>584</v>
      </c>
      <c r="B134" s="549"/>
      <c r="C134" s="549"/>
      <c r="D134" s="549"/>
      <c r="E134" s="549"/>
      <c r="F134" s="549"/>
      <c r="G134" s="549"/>
      <c r="H134" s="549"/>
      <c r="I134" s="549"/>
      <c r="J134" s="550" t="s">
        <v>585</v>
      </c>
      <c r="K134" s="550"/>
      <c r="L134" s="550">
        <f>R33</f>
        <v>1</v>
      </c>
      <c r="M134" s="550"/>
      <c r="N134" s="551">
        <f>P133</f>
        <v>6219.6247392000005</v>
      </c>
      <c r="O134" s="550"/>
      <c r="P134" s="551">
        <f>N134*L134</f>
        <v>6219.6247392000005</v>
      </c>
      <c r="Q134" s="550"/>
      <c r="R134" s="552"/>
      <c r="S134" s="552"/>
      <c r="T134" s="18"/>
      <c r="U134" s="18"/>
      <c r="V134" s="18"/>
    </row>
    <row r="135" spans="1:22" s="16" customFormat="1" ht="15.75" customHeight="1">
      <c r="A135" s="556" t="s">
        <v>587</v>
      </c>
      <c r="B135" s="557"/>
      <c r="C135" s="557"/>
      <c r="D135" s="557"/>
      <c r="E135" s="557"/>
      <c r="F135" s="557"/>
      <c r="G135" s="557"/>
      <c r="H135" s="557"/>
      <c r="I135" s="557"/>
      <c r="J135" s="557"/>
      <c r="K135" s="557"/>
      <c r="L135" s="557"/>
      <c r="M135" s="557"/>
      <c r="N135" s="557"/>
      <c r="O135" s="558"/>
      <c r="P135" s="559">
        <v>1</v>
      </c>
      <c r="Q135" s="559"/>
      <c r="R135" s="560">
        <f>P134*P135</f>
        <v>6219.6247392000005</v>
      </c>
      <c r="S135" s="555"/>
      <c r="T135" s="18"/>
      <c r="U135" s="18"/>
      <c r="V135" s="18"/>
    </row>
    <row r="136" spans="1:22" s="16" customFormat="1" ht="15.6">
      <c r="A136" s="400" t="str">
        <f>A34</f>
        <v>1.7</v>
      </c>
      <c r="B136" s="390" t="str">
        <f>B34</f>
        <v>Almoxarife</v>
      </c>
      <c r="C136" s="31"/>
      <c r="D136" s="31"/>
      <c r="E136" s="31"/>
      <c r="F136" s="31"/>
      <c r="G136" s="39"/>
      <c r="H136" s="19"/>
      <c r="I136" s="42"/>
      <c r="J136" s="19"/>
      <c r="K136" s="19"/>
      <c r="L136" s="19"/>
      <c r="M136" s="19"/>
      <c r="N136" s="19"/>
      <c r="O136" s="19"/>
      <c r="P136" s="19"/>
      <c r="Q136" s="19"/>
      <c r="R136" s="20"/>
      <c r="S136" s="19"/>
      <c r="T136" s="18"/>
      <c r="U136" s="18"/>
      <c r="V136" s="18"/>
    </row>
    <row r="137" spans="1:22" s="16" customFormat="1" ht="15.75" customHeight="1">
      <c r="A137" s="554" t="s">
        <v>569</v>
      </c>
      <c r="B137" s="554"/>
      <c r="C137" s="554"/>
      <c r="D137" s="554"/>
      <c r="E137" s="554"/>
      <c r="F137" s="554"/>
      <c r="G137" s="554"/>
      <c r="H137" s="554"/>
      <c r="I137" s="554"/>
      <c r="J137" s="555" t="s">
        <v>24</v>
      </c>
      <c r="K137" s="555"/>
      <c r="L137" s="555" t="s">
        <v>36</v>
      </c>
      <c r="M137" s="555"/>
      <c r="N137" s="555" t="s">
        <v>570</v>
      </c>
      <c r="O137" s="555"/>
      <c r="P137" s="555" t="s">
        <v>571</v>
      </c>
      <c r="Q137" s="555"/>
      <c r="R137" s="555" t="s">
        <v>572</v>
      </c>
      <c r="S137" s="555"/>
      <c r="T137" s="18"/>
      <c r="U137" s="18"/>
      <c r="V137" s="18"/>
    </row>
    <row r="138" spans="1:22" s="16" customFormat="1" ht="15.75" customHeight="1">
      <c r="A138" s="549" t="s">
        <v>568</v>
      </c>
      <c r="B138" s="549"/>
      <c r="C138" s="549"/>
      <c r="D138" s="549"/>
      <c r="E138" s="549"/>
      <c r="F138" s="549"/>
      <c r="G138" s="549"/>
      <c r="H138" s="549"/>
      <c r="I138" s="549"/>
      <c r="J138" s="550" t="s">
        <v>573</v>
      </c>
      <c r="K138" s="550"/>
      <c r="L138" s="550">
        <v>1</v>
      </c>
      <c r="M138" s="550"/>
      <c r="N138" s="551">
        <v>1100</v>
      </c>
      <c r="O138" s="550"/>
      <c r="P138" s="551">
        <f>N138*L138</f>
        <v>1100</v>
      </c>
      <c r="Q138" s="550"/>
      <c r="R138" s="552"/>
      <c r="S138" s="552"/>
      <c r="T138" s="18"/>
      <c r="U138" s="18"/>
      <c r="V138" s="18"/>
    </row>
    <row r="139" spans="1:22" s="16" customFormat="1" ht="15.75" customHeight="1">
      <c r="A139" s="549" t="s">
        <v>68</v>
      </c>
      <c r="B139" s="549"/>
      <c r="C139" s="549"/>
      <c r="D139" s="549"/>
      <c r="E139" s="549"/>
      <c r="F139" s="549"/>
      <c r="G139" s="549"/>
      <c r="H139" s="549"/>
      <c r="I139" s="549"/>
      <c r="J139" s="550" t="s">
        <v>542</v>
      </c>
      <c r="K139" s="550"/>
      <c r="L139" s="576">
        <v>0.4</v>
      </c>
      <c r="M139" s="577"/>
      <c r="N139" s="551">
        <f>$G$190</f>
        <v>1045</v>
      </c>
      <c r="O139" s="550"/>
      <c r="P139" s="551">
        <f>N139*L139</f>
        <v>418</v>
      </c>
      <c r="Q139" s="550"/>
      <c r="R139" s="552"/>
      <c r="S139" s="552"/>
      <c r="T139" s="18"/>
      <c r="U139" s="18"/>
      <c r="V139" s="18"/>
    </row>
    <row r="140" spans="1:22" s="16" customFormat="1" ht="15.75" customHeight="1">
      <c r="A140" s="561" t="s">
        <v>571</v>
      </c>
      <c r="B140" s="562"/>
      <c r="C140" s="562"/>
      <c r="D140" s="562"/>
      <c r="E140" s="562"/>
      <c r="F140" s="562"/>
      <c r="G140" s="562"/>
      <c r="H140" s="562"/>
      <c r="I140" s="562"/>
      <c r="J140" s="562"/>
      <c r="K140" s="562"/>
      <c r="L140" s="562"/>
      <c r="M140" s="562"/>
      <c r="N140" s="562"/>
      <c r="O140" s="563"/>
      <c r="P140" s="560">
        <f>SUM(P138:Q139)</f>
        <v>1518</v>
      </c>
      <c r="Q140" s="555"/>
      <c r="R140" s="552"/>
      <c r="S140" s="552"/>
      <c r="T140" s="18"/>
      <c r="U140" s="18"/>
      <c r="V140" s="18"/>
    </row>
    <row r="141" spans="1:22" s="16" customFormat="1" ht="15.75" customHeight="1">
      <c r="A141" s="549" t="s">
        <v>1</v>
      </c>
      <c r="B141" s="549"/>
      <c r="C141" s="549"/>
      <c r="D141" s="549"/>
      <c r="E141" s="549"/>
      <c r="F141" s="549"/>
      <c r="G141" s="549"/>
      <c r="H141" s="549"/>
      <c r="I141" s="549"/>
      <c r="J141" s="550" t="s">
        <v>542</v>
      </c>
      <c r="K141" s="550"/>
      <c r="L141" s="564">
        <f>$G$193</f>
        <v>0.85355440000000016</v>
      </c>
      <c r="M141" s="564"/>
      <c r="N141" s="551">
        <f>P140</f>
        <v>1518</v>
      </c>
      <c r="O141" s="550"/>
      <c r="P141" s="551">
        <f>L141*N141</f>
        <v>1295.6955792000003</v>
      </c>
      <c r="Q141" s="550"/>
      <c r="R141" s="552"/>
      <c r="S141" s="552"/>
      <c r="T141" s="18"/>
      <c r="U141" s="18"/>
      <c r="V141" s="18"/>
    </row>
    <row r="142" spans="1:22" s="16" customFormat="1" ht="15.75" customHeight="1">
      <c r="A142" s="549" t="s">
        <v>586</v>
      </c>
      <c r="B142" s="549"/>
      <c r="C142" s="549"/>
      <c r="D142" s="549"/>
      <c r="E142" s="549"/>
      <c r="F142" s="549"/>
      <c r="G142" s="549"/>
      <c r="H142" s="549"/>
      <c r="I142" s="549"/>
      <c r="J142" s="550" t="s">
        <v>577</v>
      </c>
      <c r="K142" s="550"/>
      <c r="L142" s="576">
        <v>0.06</v>
      </c>
      <c r="M142" s="630"/>
      <c r="N142" s="551">
        <f>$I$194</f>
        <v>166.4</v>
      </c>
      <c r="O142" s="550"/>
      <c r="P142" s="551">
        <f>N142-N138*L142</f>
        <v>100.4</v>
      </c>
      <c r="Q142" s="550"/>
      <c r="R142" s="552"/>
      <c r="S142" s="552"/>
      <c r="T142" s="18"/>
      <c r="U142" s="18"/>
      <c r="V142" s="18"/>
    </row>
    <row r="143" spans="1:22" s="16" customFormat="1" ht="15.75" customHeight="1">
      <c r="A143" s="549" t="s">
        <v>588</v>
      </c>
      <c r="B143" s="549"/>
      <c r="C143" s="549"/>
      <c r="D143" s="549"/>
      <c r="E143" s="549"/>
      <c r="F143" s="549"/>
      <c r="G143" s="549"/>
      <c r="H143" s="549"/>
      <c r="I143" s="549"/>
      <c r="J143" s="550" t="s">
        <v>578</v>
      </c>
      <c r="K143" s="550"/>
      <c r="L143" s="550">
        <v>26</v>
      </c>
      <c r="M143" s="550"/>
      <c r="N143" s="551">
        <f>$G$198*0.9</f>
        <v>13.833</v>
      </c>
      <c r="O143" s="550"/>
      <c r="P143" s="551">
        <f t="shared" ref="P143:P149" si="7">N143*L143</f>
        <v>359.65800000000002</v>
      </c>
      <c r="Q143" s="550"/>
      <c r="R143" s="552"/>
      <c r="S143" s="552"/>
      <c r="T143" s="18"/>
      <c r="U143" s="18"/>
      <c r="V143" s="18"/>
    </row>
    <row r="144" spans="1:22" s="16" customFormat="1" ht="15.75" customHeight="1">
      <c r="A144" s="549" t="s">
        <v>4</v>
      </c>
      <c r="B144" s="549"/>
      <c r="C144" s="549"/>
      <c r="D144" s="549"/>
      <c r="E144" s="549"/>
      <c r="F144" s="549"/>
      <c r="G144" s="549"/>
      <c r="H144" s="549"/>
      <c r="I144" s="549"/>
      <c r="J144" s="550" t="s">
        <v>577</v>
      </c>
      <c r="K144" s="550"/>
      <c r="L144" s="550">
        <v>1</v>
      </c>
      <c r="M144" s="550"/>
      <c r="N144" s="551">
        <f>$G$196</f>
        <v>180.15</v>
      </c>
      <c r="O144" s="550"/>
      <c r="P144" s="551">
        <f t="shared" si="7"/>
        <v>180.15</v>
      </c>
      <c r="Q144" s="550"/>
      <c r="R144" s="552"/>
      <c r="S144" s="552"/>
      <c r="T144" s="18"/>
      <c r="U144" s="18"/>
      <c r="V144" s="18"/>
    </row>
    <row r="145" spans="1:22" s="16" customFormat="1" ht="15.75" customHeight="1">
      <c r="A145" s="549" t="s">
        <v>579</v>
      </c>
      <c r="B145" s="549"/>
      <c r="C145" s="549"/>
      <c r="D145" s="549"/>
      <c r="E145" s="549"/>
      <c r="F145" s="549"/>
      <c r="G145" s="549"/>
      <c r="H145" s="549"/>
      <c r="I145" s="549"/>
      <c r="J145" s="550" t="s">
        <v>577</v>
      </c>
      <c r="K145" s="550"/>
      <c r="L145" s="550">
        <v>1</v>
      </c>
      <c r="M145" s="550"/>
      <c r="N145" s="551">
        <f>(N144/12)*2</f>
        <v>30.025000000000002</v>
      </c>
      <c r="O145" s="550"/>
      <c r="P145" s="551">
        <f t="shared" si="7"/>
        <v>30.025000000000002</v>
      </c>
      <c r="Q145" s="550"/>
      <c r="R145" s="552"/>
      <c r="S145" s="552"/>
      <c r="T145" s="18"/>
      <c r="U145" s="18"/>
      <c r="V145" s="18"/>
    </row>
    <row r="146" spans="1:22" s="16" customFormat="1" ht="15.75" customHeight="1">
      <c r="A146" s="549" t="s">
        <v>580</v>
      </c>
      <c r="B146" s="549"/>
      <c r="C146" s="549"/>
      <c r="D146" s="549"/>
      <c r="E146" s="549"/>
      <c r="F146" s="549"/>
      <c r="G146" s="549"/>
      <c r="H146" s="549"/>
      <c r="I146" s="549"/>
      <c r="J146" s="550" t="s">
        <v>577</v>
      </c>
      <c r="K146" s="550"/>
      <c r="L146" s="550">
        <v>1</v>
      </c>
      <c r="M146" s="550"/>
      <c r="N146" s="551">
        <f>'BANCO DE DADOS'!$K$15</f>
        <v>37</v>
      </c>
      <c r="O146" s="550"/>
      <c r="P146" s="551">
        <f t="shared" si="7"/>
        <v>37</v>
      </c>
      <c r="Q146" s="550"/>
      <c r="R146" s="552"/>
      <c r="S146" s="552"/>
      <c r="T146" s="18"/>
      <c r="U146" s="18"/>
      <c r="V146" s="18"/>
    </row>
    <row r="147" spans="1:22" s="16" customFormat="1" ht="15.75" customHeight="1">
      <c r="A147" s="549" t="s">
        <v>244</v>
      </c>
      <c r="B147" s="549"/>
      <c r="C147" s="549"/>
      <c r="D147" s="549"/>
      <c r="E147" s="549"/>
      <c r="F147" s="549"/>
      <c r="G147" s="549"/>
      <c r="H147" s="549"/>
      <c r="I147" s="549"/>
      <c r="J147" s="550" t="s">
        <v>577</v>
      </c>
      <c r="K147" s="550"/>
      <c r="L147" s="550">
        <v>1</v>
      </c>
      <c r="M147" s="550"/>
      <c r="N147" s="551">
        <f>'BANCO DE DADOS'!$K$16</f>
        <v>12.91</v>
      </c>
      <c r="O147" s="550"/>
      <c r="P147" s="551">
        <f t="shared" si="7"/>
        <v>12.91</v>
      </c>
      <c r="Q147" s="550"/>
      <c r="R147" s="552"/>
      <c r="S147" s="552"/>
      <c r="T147" s="18"/>
      <c r="U147" s="18"/>
      <c r="V147" s="18"/>
    </row>
    <row r="148" spans="1:22" s="16" customFormat="1" ht="15.75" customHeight="1">
      <c r="A148" s="549" t="s">
        <v>581</v>
      </c>
      <c r="B148" s="549"/>
      <c r="C148" s="549"/>
      <c r="D148" s="549"/>
      <c r="E148" s="549"/>
      <c r="F148" s="549"/>
      <c r="G148" s="549"/>
      <c r="H148" s="549"/>
      <c r="I148" s="549"/>
      <c r="J148" s="550" t="s">
        <v>577</v>
      </c>
      <c r="K148" s="550"/>
      <c r="L148" s="550">
        <v>1</v>
      </c>
      <c r="M148" s="550"/>
      <c r="N148" s="551">
        <f>'BANCO DE DADOS'!$K$17</f>
        <v>32</v>
      </c>
      <c r="O148" s="550"/>
      <c r="P148" s="551">
        <f t="shared" si="7"/>
        <v>32</v>
      </c>
      <c r="Q148" s="550"/>
      <c r="R148" s="552"/>
      <c r="S148" s="552"/>
      <c r="T148" s="18"/>
      <c r="U148" s="18"/>
      <c r="V148" s="18"/>
    </row>
    <row r="149" spans="1:22" s="16" customFormat="1" ht="15.75" customHeight="1">
      <c r="A149" s="549" t="s">
        <v>582</v>
      </c>
      <c r="B149" s="549"/>
      <c r="C149" s="549"/>
      <c r="D149" s="549"/>
      <c r="E149" s="549"/>
      <c r="F149" s="549"/>
      <c r="G149" s="549"/>
      <c r="H149" s="549"/>
      <c r="I149" s="549"/>
      <c r="J149" s="550" t="s">
        <v>577</v>
      </c>
      <c r="K149" s="550"/>
      <c r="L149" s="550">
        <v>1</v>
      </c>
      <c r="M149" s="550"/>
      <c r="N149" s="551">
        <f>J223</f>
        <v>28.720000000000002</v>
      </c>
      <c r="O149" s="550"/>
      <c r="P149" s="551">
        <f t="shared" si="7"/>
        <v>28.720000000000002</v>
      </c>
      <c r="Q149" s="550"/>
      <c r="R149" s="552"/>
      <c r="S149" s="552"/>
      <c r="T149" s="18"/>
      <c r="U149" s="18"/>
      <c r="V149" s="18"/>
    </row>
    <row r="150" spans="1:22" s="16" customFormat="1" ht="15.75" customHeight="1">
      <c r="A150" s="561" t="s">
        <v>583</v>
      </c>
      <c r="B150" s="562"/>
      <c r="C150" s="562"/>
      <c r="D150" s="562"/>
      <c r="E150" s="562"/>
      <c r="F150" s="562"/>
      <c r="G150" s="562"/>
      <c r="H150" s="562"/>
      <c r="I150" s="562"/>
      <c r="J150" s="562"/>
      <c r="K150" s="562"/>
      <c r="L150" s="562"/>
      <c r="M150" s="562"/>
      <c r="N150" s="562"/>
      <c r="O150" s="563"/>
      <c r="P150" s="560">
        <f>SUM(P140:Q149)</f>
        <v>3594.5585792000002</v>
      </c>
      <c r="Q150" s="555"/>
      <c r="R150" s="565"/>
      <c r="S150" s="565"/>
      <c r="T150" s="18"/>
      <c r="U150" s="18"/>
      <c r="V150" s="18"/>
    </row>
    <row r="151" spans="1:22" s="16" customFormat="1" ht="15.75" customHeight="1">
      <c r="A151" s="549" t="s">
        <v>584</v>
      </c>
      <c r="B151" s="549"/>
      <c r="C151" s="549"/>
      <c r="D151" s="549"/>
      <c r="E151" s="549"/>
      <c r="F151" s="549"/>
      <c r="G151" s="549"/>
      <c r="H151" s="549"/>
      <c r="I151" s="549"/>
      <c r="J151" s="550" t="s">
        <v>585</v>
      </c>
      <c r="K151" s="550"/>
      <c r="L151" s="550">
        <f>R34</f>
        <v>1</v>
      </c>
      <c r="M151" s="550"/>
      <c r="N151" s="551">
        <f>P150</f>
        <v>3594.5585792000002</v>
      </c>
      <c r="O151" s="550"/>
      <c r="P151" s="551">
        <f>N151*L151</f>
        <v>3594.5585792000002</v>
      </c>
      <c r="Q151" s="550"/>
      <c r="R151" s="552"/>
      <c r="S151" s="552"/>
      <c r="T151" s="18"/>
      <c r="U151" s="18"/>
      <c r="V151" s="18"/>
    </row>
    <row r="152" spans="1:22" s="16" customFormat="1" ht="15.75" customHeight="1">
      <c r="A152" s="556" t="s">
        <v>587</v>
      </c>
      <c r="B152" s="557"/>
      <c r="C152" s="557"/>
      <c r="D152" s="557"/>
      <c r="E152" s="557"/>
      <c r="F152" s="557"/>
      <c r="G152" s="557"/>
      <c r="H152" s="557"/>
      <c r="I152" s="557"/>
      <c r="J152" s="557"/>
      <c r="K152" s="557"/>
      <c r="L152" s="557"/>
      <c r="M152" s="557"/>
      <c r="N152" s="557"/>
      <c r="O152" s="558"/>
      <c r="P152" s="559">
        <v>1</v>
      </c>
      <c r="Q152" s="559"/>
      <c r="R152" s="560">
        <f>P151*P152</f>
        <v>3594.5585792000002</v>
      </c>
      <c r="S152" s="555"/>
      <c r="T152" s="18"/>
      <c r="U152" s="18"/>
      <c r="V152" s="18"/>
    </row>
    <row r="153" spans="1:22" s="16" customFormat="1" ht="15.6">
      <c r="A153" s="400" t="str">
        <f>A35</f>
        <v>1.8</v>
      </c>
      <c r="B153" s="390" t="str">
        <f>B35</f>
        <v xml:space="preserve">Lavador / Lubrificador </v>
      </c>
      <c r="C153" s="31"/>
      <c r="D153" s="31"/>
      <c r="E153" s="31"/>
      <c r="F153" s="31"/>
      <c r="G153" s="39"/>
      <c r="H153" s="19"/>
      <c r="I153" s="42"/>
      <c r="J153" s="19"/>
      <c r="K153" s="19"/>
      <c r="L153" s="19"/>
      <c r="M153" s="19"/>
      <c r="N153" s="19"/>
      <c r="O153" s="19"/>
      <c r="P153" s="19"/>
      <c r="Q153" s="19"/>
      <c r="R153" s="20"/>
      <c r="S153" s="19"/>
      <c r="T153" s="18"/>
      <c r="U153" s="18"/>
      <c r="V153" s="18"/>
    </row>
    <row r="154" spans="1:22" s="16" customFormat="1" ht="15.75" customHeight="1">
      <c r="A154" s="554" t="s">
        <v>569</v>
      </c>
      <c r="B154" s="554"/>
      <c r="C154" s="554"/>
      <c r="D154" s="554"/>
      <c r="E154" s="554"/>
      <c r="F154" s="554"/>
      <c r="G154" s="554"/>
      <c r="H154" s="554"/>
      <c r="I154" s="554"/>
      <c r="J154" s="555" t="s">
        <v>24</v>
      </c>
      <c r="K154" s="555"/>
      <c r="L154" s="555" t="s">
        <v>36</v>
      </c>
      <c r="M154" s="555"/>
      <c r="N154" s="555" t="s">
        <v>570</v>
      </c>
      <c r="O154" s="555"/>
      <c r="P154" s="555" t="s">
        <v>571</v>
      </c>
      <c r="Q154" s="555"/>
      <c r="R154" s="555" t="s">
        <v>572</v>
      </c>
      <c r="S154" s="555"/>
      <c r="T154" s="18"/>
      <c r="U154" s="18"/>
      <c r="V154" s="18"/>
    </row>
    <row r="155" spans="1:22" s="16" customFormat="1" ht="15.75" customHeight="1">
      <c r="A155" s="549" t="s">
        <v>568</v>
      </c>
      <c r="B155" s="549"/>
      <c r="C155" s="549"/>
      <c r="D155" s="549"/>
      <c r="E155" s="549"/>
      <c r="F155" s="549"/>
      <c r="G155" s="549"/>
      <c r="H155" s="549"/>
      <c r="I155" s="549"/>
      <c r="J155" s="550" t="s">
        <v>573</v>
      </c>
      <c r="K155" s="550"/>
      <c r="L155" s="550">
        <v>1</v>
      </c>
      <c r="M155" s="550"/>
      <c r="N155" s="551">
        <v>1100</v>
      </c>
      <c r="O155" s="550"/>
      <c r="P155" s="551">
        <f>N155*L155</f>
        <v>1100</v>
      </c>
      <c r="Q155" s="550"/>
      <c r="R155" s="552"/>
      <c r="S155" s="552"/>
      <c r="T155" s="18"/>
      <c r="U155" s="18"/>
      <c r="V155" s="18"/>
    </row>
    <row r="156" spans="1:22" s="16" customFormat="1" ht="15.75" customHeight="1">
      <c r="A156" s="549" t="s">
        <v>68</v>
      </c>
      <c r="B156" s="549"/>
      <c r="C156" s="549"/>
      <c r="D156" s="549"/>
      <c r="E156" s="549"/>
      <c r="F156" s="549"/>
      <c r="G156" s="549"/>
      <c r="H156" s="549"/>
      <c r="I156" s="549"/>
      <c r="J156" s="550" t="s">
        <v>542</v>
      </c>
      <c r="K156" s="550"/>
      <c r="L156" s="576">
        <v>0.4</v>
      </c>
      <c r="M156" s="577"/>
      <c r="N156" s="551">
        <f>$G$190</f>
        <v>1045</v>
      </c>
      <c r="O156" s="550"/>
      <c r="P156" s="551">
        <f>N156*L156</f>
        <v>418</v>
      </c>
      <c r="Q156" s="550"/>
      <c r="R156" s="552"/>
      <c r="S156" s="552"/>
      <c r="T156" s="18"/>
      <c r="U156" s="18"/>
      <c r="V156" s="18"/>
    </row>
    <row r="157" spans="1:22" s="16" customFormat="1" ht="15.75" customHeight="1">
      <c r="A157" s="561" t="s">
        <v>571</v>
      </c>
      <c r="B157" s="562"/>
      <c r="C157" s="562"/>
      <c r="D157" s="562"/>
      <c r="E157" s="562"/>
      <c r="F157" s="562"/>
      <c r="G157" s="562"/>
      <c r="H157" s="562"/>
      <c r="I157" s="562"/>
      <c r="J157" s="562"/>
      <c r="K157" s="562"/>
      <c r="L157" s="562"/>
      <c r="M157" s="562"/>
      <c r="N157" s="562"/>
      <c r="O157" s="563"/>
      <c r="P157" s="560">
        <f>SUM(P155:Q156)</f>
        <v>1518</v>
      </c>
      <c r="Q157" s="555"/>
      <c r="R157" s="552"/>
      <c r="S157" s="552"/>
      <c r="T157" s="18"/>
      <c r="U157" s="18"/>
      <c r="V157" s="18"/>
    </row>
    <row r="158" spans="1:22" s="16" customFormat="1" ht="15.75" customHeight="1">
      <c r="A158" s="549" t="s">
        <v>1</v>
      </c>
      <c r="B158" s="549"/>
      <c r="C158" s="549"/>
      <c r="D158" s="549"/>
      <c r="E158" s="549"/>
      <c r="F158" s="549"/>
      <c r="G158" s="549"/>
      <c r="H158" s="549"/>
      <c r="I158" s="549"/>
      <c r="J158" s="550" t="s">
        <v>542</v>
      </c>
      <c r="K158" s="550"/>
      <c r="L158" s="564">
        <f>$G$193</f>
        <v>0.85355440000000016</v>
      </c>
      <c r="M158" s="564"/>
      <c r="N158" s="551">
        <f>P157</f>
        <v>1518</v>
      </c>
      <c r="O158" s="550"/>
      <c r="P158" s="551">
        <f>L158*N158</f>
        <v>1295.6955792000003</v>
      </c>
      <c r="Q158" s="550"/>
      <c r="R158" s="552"/>
      <c r="S158" s="552"/>
      <c r="T158" s="18"/>
      <c r="U158" s="18"/>
      <c r="V158" s="18"/>
    </row>
    <row r="159" spans="1:22" s="16" customFormat="1" ht="15.75" customHeight="1">
      <c r="A159" s="549" t="s">
        <v>586</v>
      </c>
      <c r="B159" s="549"/>
      <c r="C159" s="549"/>
      <c r="D159" s="549"/>
      <c r="E159" s="549"/>
      <c r="F159" s="549"/>
      <c r="G159" s="549"/>
      <c r="H159" s="549"/>
      <c r="I159" s="549"/>
      <c r="J159" s="550" t="s">
        <v>577</v>
      </c>
      <c r="K159" s="550"/>
      <c r="L159" s="576">
        <v>0.06</v>
      </c>
      <c r="M159" s="630"/>
      <c r="N159" s="551">
        <f>$I$194</f>
        <v>166.4</v>
      </c>
      <c r="O159" s="550"/>
      <c r="P159" s="551">
        <f>N159-N155*L159</f>
        <v>100.4</v>
      </c>
      <c r="Q159" s="550"/>
      <c r="R159" s="552"/>
      <c r="S159" s="552"/>
      <c r="T159" s="18"/>
      <c r="U159" s="18"/>
      <c r="V159" s="18"/>
    </row>
    <row r="160" spans="1:22" s="16" customFormat="1" ht="15.75" customHeight="1">
      <c r="A160" s="549" t="s">
        <v>588</v>
      </c>
      <c r="B160" s="549"/>
      <c r="C160" s="549"/>
      <c r="D160" s="549"/>
      <c r="E160" s="549"/>
      <c r="F160" s="549"/>
      <c r="G160" s="549"/>
      <c r="H160" s="549"/>
      <c r="I160" s="549"/>
      <c r="J160" s="550" t="s">
        <v>578</v>
      </c>
      <c r="K160" s="550"/>
      <c r="L160" s="550">
        <v>26</v>
      </c>
      <c r="M160" s="550"/>
      <c r="N160" s="551">
        <f>$G$198*0.9</f>
        <v>13.833</v>
      </c>
      <c r="O160" s="550"/>
      <c r="P160" s="551">
        <f t="shared" ref="P160:P166" si="8">N160*L160</f>
        <v>359.65800000000002</v>
      </c>
      <c r="Q160" s="550"/>
      <c r="R160" s="552"/>
      <c r="S160" s="552"/>
      <c r="T160" s="18"/>
      <c r="U160" s="18"/>
      <c r="V160" s="18"/>
    </row>
    <row r="161" spans="1:22" s="16" customFormat="1" ht="15.75" customHeight="1">
      <c r="A161" s="549" t="s">
        <v>4</v>
      </c>
      <c r="B161" s="549"/>
      <c r="C161" s="549"/>
      <c r="D161" s="549"/>
      <c r="E161" s="549"/>
      <c r="F161" s="549"/>
      <c r="G161" s="549"/>
      <c r="H161" s="549"/>
      <c r="I161" s="549"/>
      <c r="J161" s="550" t="s">
        <v>577</v>
      </c>
      <c r="K161" s="550"/>
      <c r="L161" s="550">
        <v>1</v>
      </c>
      <c r="M161" s="550"/>
      <c r="N161" s="551">
        <f>$G$196</f>
        <v>180.15</v>
      </c>
      <c r="O161" s="550"/>
      <c r="P161" s="551">
        <f t="shared" si="8"/>
        <v>180.15</v>
      </c>
      <c r="Q161" s="550"/>
      <c r="R161" s="552"/>
      <c r="S161" s="552"/>
      <c r="T161" s="18"/>
      <c r="U161" s="18"/>
      <c r="V161" s="18"/>
    </row>
    <row r="162" spans="1:22" s="16" customFormat="1" ht="15.75" customHeight="1">
      <c r="A162" s="549" t="s">
        <v>579</v>
      </c>
      <c r="B162" s="549"/>
      <c r="C162" s="549"/>
      <c r="D162" s="549"/>
      <c r="E162" s="549"/>
      <c r="F162" s="549"/>
      <c r="G162" s="549"/>
      <c r="H162" s="549"/>
      <c r="I162" s="549"/>
      <c r="J162" s="550" t="s">
        <v>577</v>
      </c>
      <c r="K162" s="550"/>
      <c r="L162" s="550">
        <v>1</v>
      </c>
      <c r="M162" s="550"/>
      <c r="N162" s="551">
        <f>(N161/12)*2</f>
        <v>30.025000000000002</v>
      </c>
      <c r="O162" s="550"/>
      <c r="P162" s="551">
        <f t="shared" si="8"/>
        <v>30.025000000000002</v>
      </c>
      <c r="Q162" s="550"/>
      <c r="R162" s="552"/>
      <c r="S162" s="552"/>
      <c r="T162" s="18"/>
      <c r="U162" s="18"/>
      <c r="V162" s="18"/>
    </row>
    <row r="163" spans="1:22" s="16" customFormat="1" ht="15.75" customHeight="1">
      <c r="A163" s="549" t="s">
        <v>580</v>
      </c>
      <c r="B163" s="549"/>
      <c r="C163" s="549"/>
      <c r="D163" s="549"/>
      <c r="E163" s="549"/>
      <c r="F163" s="549"/>
      <c r="G163" s="549"/>
      <c r="H163" s="549"/>
      <c r="I163" s="549"/>
      <c r="J163" s="550" t="s">
        <v>577</v>
      </c>
      <c r="K163" s="550"/>
      <c r="L163" s="550">
        <v>1</v>
      </c>
      <c r="M163" s="550"/>
      <c r="N163" s="551">
        <f>'BANCO DE DADOS'!$K$15</f>
        <v>37</v>
      </c>
      <c r="O163" s="550"/>
      <c r="P163" s="551">
        <f t="shared" si="8"/>
        <v>37</v>
      </c>
      <c r="Q163" s="550"/>
      <c r="R163" s="552"/>
      <c r="S163" s="552"/>
      <c r="T163" s="18"/>
      <c r="U163" s="18"/>
      <c r="V163" s="18"/>
    </row>
    <row r="164" spans="1:22" s="16" customFormat="1" ht="15.75" customHeight="1">
      <c r="A164" s="549" t="s">
        <v>244</v>
      </c>
      <c r="B164" s="549"/>
      <c r="C164" s="549"/>
      <c r="D164" s="549"/>
      <c r="E164" s="549"/>
      <c r="F164" s="549"/>
      <c r="G164" s="549"/>
      <c r="H164" s="549"/>
      <c r="I164" s="549"/>
      <c r="J164" s="550" t="s">
        <v>577</v>
      </c>
      <c r="K164" s="550"/>
      <c r="L164" s="550">
        <v>1</v>
      </c>
      <c r="M164" s="550"/>
      <c r="N164" s="551">
        <f>'BANCO DE DADOS'!$K$16</f>
        <v>12.91</v>
      </c>
      <c r="O164" s="550"/>
      <c r="P164" s="551">
        <f t="shared" si="8"/>
        <v>12.91</v>
      </c>
      <c r="Q164" s="550"/>
      <c r="R164" s="552"/>
      <c r="S164" s="552"/>
      <c r="T164" s="18"/>
      <c r="U164" s="18"/>
      <c r="V164" s="18"/>
    </row>
    <row r="165" spans="1:22" s="16" customFormat="1" ht="15.75" customHeight="1">
      <c r="A165" s="549" t="s">
        <v>581</v>
      </c>
      <c r="B165" s="549"/>
      <c r="C165" s="549"/>
      <c r="D165" s="549"/>
      <c r="E165" s="549"/>
      <c r="F165" s="549"/>
      <c r="G165" s="549"/>
      <c r="H165" s="549"/>
      <c r="I165" s="549"/>
      <c r="J165" s="550" t="s">
        <v>577</v>
      </c>
      <c r="K165" s="550"/>
      <c r="L165" s="550">
        <v>1</v>
      </c>
      <c r="M165" s="550"/>
      <c r="N165" s="551">
        <f>'BANCO DE DADOS'!$K$17</f>
        <v>32</v>
      </c>
      <c r="O165" s="550"/>
      <c r="P165" s="551">
        <f t="shared" si="8"/>
        <v>32</v>
      </c>
      <c r="Q165" s="550"/>
      <c r="R165" s="552"/>
      <c r="S165" s="552"/>
      <c r="T165" s="18"/>
      <c r="U165" s="18"/>
      <c r="V165" s="18"/>
    </row>
    <row r="166" spans="1:22" s="16" customFormat="1" ht="15.75" customHeight="1">
      <c r="A166" s="549" t="s">
        <v>582</v>
      </c>
      <c r="B166" s="549"/>
      <c r="C166" s="549"/>
      <c r="D166" s="549"/>
      <c r="E166" s="549"/>
      <c r="F166" s="549"/>
      <c r="G166" s="549"/>
      <c r="H166" s="549"/>
      <c r="I166" s="549"/>
      <c r="J166" s="550" t="s">
        <v>577</v>
      </c>
      <c r="K166" s="550"/>
      <c r="L166" s="550">
        <v>1</v>
      </c>
      <c r="M166" s="550"/>
      <c r="N166" s="551">
        <f>N217</f>
        <v>117.00999999999999</v>
      </c>
      <c r="O166" s="550"/>
      <c r="P166" s="551">
        <f t="shared" si="8"/>
        <v>117.00999999999999</v>
      </c>
      <c r="Q166" s="550"/>
      <c r="R166" s="552"/>
      <c r="S166" s="552"/>
      <c r="T166" s="18"/>
      <c r="U166" s="18"/>
      <c r="V166" s="18"/>
    </row>
    <row r="167" spans="1:22" s="16" customFormat="1" ht="15.75" customHeight="1">
      <c r="A167" s="561" t="s">
        <v>583</v>
      </c>
      <c r="B167" s="562"/>
      <c r="C167" s="562"/>
      <c r="D167" s="562"/>
      <c r="E167" s="562"/>
      <c r="F167" s="562"/>
      <c r="G167" s="562"/>
      <c r="H167" s="562"/>
      <c r="I167" s="562"/>
      <c r="J167" s="562"/>
      <c r="K167" s="562"/>
      <c r="L167" s="562"/>
      <c r="M167" s="562"/>
      <c r="N167" s="562"/>
      <c r="O167" s="563"/>
      <c r="P167" s="560">
        <f>SUM(P157:Q166)</f>
        <v>3682.8485792000001</v>
      </c>
      <c r="Q167" s="555"/>
      <c r="R167" s="565"/>
      <c r="S167" s="565"/>
      <c r="T167" s="18"/>
      <c r="U167" s="18"/>
      <c r="V167" s="18"/>
    </row>
    <row r="168" spans="1:22" s="16" customFormat="1" ht="15.75" customHeight="1">
      <c r="A168" s="549" t="s">
        <v>584</v>
      </c>
      <c r="B168" s="549"/>
      <c r="C168" s="549"/>
      <c r="D168" s="549"/>
      <c r="E168" s="549"/>
      <c r="F168" s="549"/>
      <c r="G168" s="549"/>
      <c r="H168" s="549"/>
      <c r="I168" s="549"/>
      <c r="J168" s="550" t="s">
        <v>585</v>
      </c>
      <c r="K168" s="550"/>
      <c r="L168" s="550">
        <f>R35</f>
        <v>1</v>
      </c>
      <c r="M168" s="550"/>
      <c r="N168" s="551">
        <f>P167</f>
        <v>3682.8485792000001</v>
      </c>
      <c r="O168" s="550"/>
      <c r="P168" s="551">
        <f>N168*L168</f>
        <v>3682.8485792000001</v>
      </c>
      <c r="Q168" s="550"/>
      <c r="R168" s="552"/>
      <c r="S168" s="552"/>
      <c r="T168" s="18"/>
      <c r="U168" s="18"/>
      <c r="V168" s="18"/>
    </row>
    <row r="169" spans="1:22" s="16" customFormat="1" ht="15.75" customHeight="1">
      <c r="A169" s="556" t="s">
        <v>587</v>
      </c>
      <c r="B169" s="557"/>
      <c r="C169" s="557"/>
      <c r="D169" s="557"/>
      <c r="E169" s="557"/>
      <c r="F169" s="557"/>
      <c r="G169" s="557"/>
      <c r="H169" s="557"/>
      <c r="I169" s="557"/>
      <c r="J169" s="557"/>
      <c r="K169" s="557"/>
      <c r="L169" s="557"/>
      <c r="M169" s="557"/>
      <c r="N169" s="557"/>
      <c r="O169" s="558"/>
      <c r="P169" s="559">
        <v>1</v>
      </c>
      <c r="Q169" s="559"/>
      <c r="R169" s="560">
        <f>P168*P169</f>
        <v>3682.8485792000001</v>
      </c>
      <c r="S169" s="555"/>
      <c r="T169" s="18"/>
      <c r="U169" s="18"/>
      <c r="V169" s="18"/>
    </row>
    <row r="170" spans="1:22" s="16" customFormat="1" ht="15.6">
      <c r="A170" s="400" t="str">
        <f>A36</f>
        <v>1.9</v>
      </c>
      <c r="B170" s="400" t="str">
        <f>B36</f>
        <v>Vigia Noturno</v>
      </c>
      <c r="C170" s="31"/>
      <c r="D170" s="31"/>
      <c r="E170" s="31"/>
      <c r="F170" s="31"/>
      <c r="G170" s="39"/>
      <c r="H170" s="19"/>
      <c r="I170" s="42"/>
      <c r="J170" s="19"/>
      <c r="K170" s="19"/>
      <c r="L170" s="19"/>
      <c r="M170" s="19"/>
      <c r="N170" s="19"/>
      <c r="O170" s="19"/>
      <c r="P170" s="19"/>
      <c r="Q170" s="19"/>
      <c r="R170" s="20"/>
      <c r="S170" s="19"/>
      <c r="T170" s="18"/>
      <c r="U170" s="18"/>
      <c r="V170" s="18"/>
    </row>
    <row r="171" spans="1:22" s="16" customFormat="1" ht="15.75" customHeight="1">
      <c r="A171" s="554" t="s">
        <v>569</v>
      </c>
      <c r="B171" s="554"/>
      <c r="C171" s="554"/>
      <c r="D171" s="554"/>
      <c r="E171" s="554"/>
      <c r="F171" s="554"/>
      <c r="G171" s="554"/>
      <c r="H171" s="554"/>
      <c r="I171" s="554"/>
      <c r="J171" s="555" t="s">
        <v>24</v>
      </c>
      <c r="K171" s="555"/>
      <c r="L171" s="555" t="s">
        <v>36</v>
      </c>
      <c r="M171" s="555"/>
      <c r="N171" s="555" t="s">
        <v>570</v>
      </c>
      <c r="O171" s="555"/>
      <c r="P171" s="555" t="s">
        <v>571</v>
      </c>
      <c r="Q171" s="555"/>
      <c r="R171" s="555" t="s">
        <v>572</v>
      </c>
      <c r="S171" s="555"/>
      <c r="T171" s="18"/>
      <c r="U171" s="18"/>
      <c r="V171" s="18"/>
    </row>
    <row r="172" spans="1:22" s="16" customFormat="1" ht="15.75" customHeight="1">
      <c r="A172" s="549" t="s">
        <v>568</v>
      </c>
      <c r="B172" s="549"/>
      <c r="C172" s="549"/>
      <c r="D172" s="549"/>
      <c r="E172" s="549"/>
      <c r="F172" s="549"/>
      <c r="G172" s="549"/>
      <c r="H172" s="549"/>
      <c r="I172" s="549"/>
      <c r="J172" s="550" t="s">
        <v>573</v>
      </c>
      <c r="K172" s="550"/>
      <c r="L172" s="550">
        <v>1</v>
      </c>
      <c r="M172" s="550"/>
      <c r="N172" s="551">
        <v>1200</v>
      </c>
      <c r="O172" s="550"/>
      <c r="P172" s="551">
        <f>N172*L172</f>
        <v>1200</v>
      </c>
      <c r="Q172" s="550"/>
      <c r="R172" s="552"/>
      <c r="S172" s="552"/>
      <c r="T172" s="18"/>
      <c r="U172" s="18"/>
      <c r="V172" s="18"/>
    </row>
    <row r="173" spans="1:22" s="16" customFormat="1" ht="15.75" customHeight="1">
      <c r="A173" s="549" t="s">
        <v>590</v>
      </c>
      <c r="B173" s="549"/>
      <c r="C173" s="549"/>
      <c r="D173" s="549"/>
      <c r="E173" s="549"/>
      <c r="F173" s="549"/>
      <c r="G173" s="549"/>
      <c r="H173" s="549"/>
      <c r="I173" s="549"/>
      <c r="J173" s="550" t="s">
        <v>542</v>
      </c>
      <c r="K173" s="550"/>
      <c r="L173" s="576">
        <v>0.2</v>
      </c>
      <c r="M173" s="577"/>
      <c r="N173" s="551">
        <f>N172</f>
        <v>1200</v>
      </c>
      <c r="O173" s="550"/>
      <c r="P173" s="551">
        <f>L173*N173</f>
        <v>240</v>
      </c>
      <c r="Q173" s="550"/>
      <c r="R173" s="552"/>
      <c r="S173" s="552"/>
      <c r="T173" s="18"/>
      <c r="U173" s="18"/>
      <c r="V173" s="18"/>
    </row>
    <row r="174" spans="1:22" s="16" customFormat="1" ht="15.75" customHeight="1">
      <c r="A174" s="561" t="s">
        <v>571</v>
      </c>
      <c r="B174" s="562"/>
      <c r="C174" s="562"/>
      <c r="D174" s="562"/>
      <c r="E174" s="562"/>
      <c r="F174" s="562"/>
      <c r="G174" s="562"/>
      <c r="H174" s="562"/>
      <c r="I174" s="562"/>
      <c r="J174" s="562"/>
      <c r="K174" s="562"/>
      <c r="L174" s="562"/>
      <c r="M174" s="562"/>
      <c r="N174" s="562"/>
      <c r="O174" s="563"/>
      <c r="P174" s="560">
        <f>SUM(P172:Q173)</f>
        <v>1440</v>
      </c>
      <c r="Q174" s="555"/>
      <c r="R174" s="552"/>
      <c r="S174" s="552"/>
      <c r="T174" s="18"/>
      <c r="U174" s="18"/>
      <c r="V174" s="18"/>
    </row>
    <row r="175" spans="1:22" s="16" customFormat="1" ht="15.75" customHeight="1">
      <c r="A175" s="549" t="s">
        <v>1</v>
      </c>
      <c r="B175" s="549"/>
      <c r="C175" s="549"/>
      <c r="D175" s="549"/>
      <c r="E175" s="549"/>
      <c r="F175" s="549"/>
      <c r="G175" s="549"/>
      <c r="H175" s="549"/>
      <c r="I175" s="549"/>
      <c r="J175" s="550" t="s">
        <v>542</v>
      </c>
      <c r="K175" s="550"/>
      <c r="L175" s="564">
        <f>$G$193</f>
        <v>0.85355440000000016</v>
      </c>
      <c r="M175" s="564"/>
      <c r="N175" s="551">
        <f>P174</f>
        <v>1440</v>
      </c>
      <c r="O175" s="550"/>
      <c r="P175" s="551">
        <f>L175*N175</f>
        <v>1229.1183360000002</v>
      </c>
      <c r="Q175" s="550"/>
      <c r="R175" s="552"/>
      <c r="S175" s="552"/>
      <c r="T175" s="18"/>
      <c r="U175" s="18"/>
      <c r="V175" s="18"/>
    </row>
    <row r="176" spans="1:22" s="16" customFormat="1" ht="15.75" customHeight="1">
      <c r="A176" s="549" t="s">
        <v>586</v>
      </c>
      <c r="B176" s="549"/>
      <c r="C176" s="549"/>
      <c r="D176" s="549"/>
      <c r="E176" s="549"/>
      <c r="F176" s="549"/>
      <c r="G176" s="549"/>
      <c r="H176" s="549"/>
      <c r="I176" s="549"/>
      <c r="J176" s="550" t="s">
        <v>577</v>
      </c>
      <c r="K176" s="550"/>
      <c r="L176" s="576">
        <v>0.06</v>
      </c>
      <c r="M176" s="630"/>
      <c r="N176" s="551">
        <f>$I$194</f>
        <v>166.4</v>
      </c>
      <c r="O176" s="550"/>
      <c r="P176" s="551">
        <f>N176-N172*L176</f>
        <v>94.4</v>
      </c>
      <c r="Q176" s="550"/>
      <c r="R176" s="552"/>
      <c r="S176" s="552"/>
      <c r="T176" s="18"/>
      <c r="U176" s="18"/>
      <c r="V176" s="18"/>
    </row>
    <row r="177" spans="1:22" s="16" customFormat="1" ht="15.75" customHeight="1">
      <c r="A177" s="549" t="s">
        <v>588</v>
      </c>
      <c r="B177" s="549"/>
      <c r="C177" s="549"/>
      <c r="D177" s="549"/>
      <c r="E177" s="549"/>
      <c r="F177" s="549"/>
      <c r="G177" s="549"/>
      <c r="H177" s="549"/>
      <c r="I177" s="549"/>
      <c r="J177" s="550" t="s">
        <v>578</v>
      </c>
      <c r="K177" s="550"/>
      <c r="L177" s="550">
        <v>26</v>
      </c>
      <c r="M177" s="550"/>
      <c r="N177" s="551">
        <f>$G$198*0.9</f>
        <v>13.833</v>
      </c>
      <c r="O177" s="550"/>
      <c r="P177" s="551">
        <f t="shared" ref="P177:P183" si="9">N177*L177</f>
        <v>359.65800000000002</v>
      </c>
      <c r="Q177" s="550"/>
      <c r="R177" s="552"/>
      <c r="S177" s="552"/>
      <c r="T177" s="18"/>
      <c r="U177" s="18"/>
      <c r="V177" s="18"/>
    </row>
    <row r="178" spans="1:22" s="16" customFormat="1" ht="15.75" customHeight="1">
      <c r="A178" s="549" t="s">
        <v>4</v>
      </c>
      <c r="B178" s="549"/>
      <c r="C178" s="549"/>
      <c r="D178" s="549"/>
      <c r="E178" s="549"/>
      <c r="F178" s="549"/>
      <c r="G178" s="549"/>
      <c r="H178" s="549"/>
      <c r="I178" s="549"/>
      <c r="J178" s="550" t="s">
        <v>577</v>
      </c>
      <c r="K178" s="550"/>
      <c r="L178" s="550">
        <v>1</v>
      </c>
      <c r="M178" s="550"/>
      <c r="N178" s="551">
        <f>G196</f>
        <v>180.15</v>
      </c>
      <c r="O178" s="550"/>
      <c r="P178" s="551">
        <f t="shared" si="9"/>
        <v>180.15</v>
      </c>
      <c r="Q178" s="550"/>
      <c r="R178" s="552"/>
      <c r="S178" s="552"/>
      <c r="T178" s="18"/>
      <c r="U178" s="18"/>
      <c r="V178" s="18"/>
    </row>
    <row r="179" spans="1:22" s="16" customFormat="1" ht="15.75" customHeight="1">
      <c r="A179" s="549" t="s">
        <v>579</v>
      </c>
      <c r="B179" s="549"/>
      <c r="C179" s="549"/>
      <c r="D179" s="549"/>
      <c r="E179" s="549"/>
      <c r="F179" s="549"/>
      <c r="G179" s="549"/>
      <c r="H179" s="549"/>
      <c r="I179" s="549"/>
      <c r="J179" s="550" t="s">
        <v>577</v>
      </c>
      <c r="K179" s="550"/>
      <c r="L179" s="550">
        <v>1</v>
      </c>
      <c r="M179" s="550"/>
      <c r="N179" s="551">
        <f>(N178/12)*2</f>
        <v>30.025000000000002</v>
      </c>
      <c r="O179" s="550"/>
      <c r="P179" s="551">
        <f t="shared" si="9"/>
        <v>30.025000000000002</v>
      </c>
      <c r="Q179" s="550"/>
      <c r="R179" s="552"/>
      <c r="S179" s="552"/>
      <c r="T179" s="18"/>
      <c r="U179" s="18"/>
      <c r="V179" s="18"/>
    </row>
    <row r="180" spans="1:22" s="16" customFormat="1" ht="15.75" customHeight="1">
      <c r="A180" s="549" t="s">
        <v>580</v>
      </c>
      <c r="B180" s="549"/>
      <c r="C180" s="549"/>
      <c r="D180" s="549"/>
      <c r="E180" s="549"/>
      <c r="F180" s="549"/>
      <c r="G180" s="549"/>
      <c r="H180" s="549"/>
      <c r="I180" s="549"/>
      <c r="J180" s="550" t="s">
        <v>577</v>
      </c>
      <c r="K180" s="550"/>
      <c r="L180" s="550">
        <v>1</v>
      </c>
      <c r="M180" s="550"/>
      <c r="N180" s="551">
        <f>'BANCO DE DADOS'!$K$15</f>
        <v>37</v>
      </c>
      <c r="O180" s="550"/>
      <c r="P180" s="551">
        <f t="shared" si="9"/>
        <v>37</v>
      </c>
      <c r="Q180" s="550"/>
      <c r="R180" s="552"/>
      <c r="S180" s="552"/>
      <c r="T180" s="18"/>
      <c r="U180" s="18"/>
      <c r="V180" s="18"/>
    </row>
    <row r="181" spans="1:22" s="16" customFormat="1" ht="15.75" customHeight="1">
      <c r="A181" s="549" t="s">
        <v>244</v>
      </c>
      <c r="B181" s="549"/>
      <c r="C181" s="549"/>
      <c r="D181" s="549"/>
      <c r="E181" s="549"/>
      <c r="F181" s="549"/>
      <c r="G181" s="549"/>
      <c r="H181" s="549"/>
      <c r="I181" s="549"/>
      <c r="J181" s="550" t="s">
        <v>577</v>
      </c>
      <c r="K181" s="550"/>
      <c r="L181" s="550">
        <v>1</v>
      </c>
      <c r="M181" s="550"/>
      <c r="N181" s="551">
        <f>'BANCO DE DADOS'!$K$16</f>
        <v>12.91</v>
      </c>
      <c r="O181" s="550"/>
      <c r="P181" s="551">
        <f t="shared" si="9"/>
        <v>12.91</v>
      </c>
      <c r="Q181" s="550"/>
      <c r="R181" s="552"/>
      <c r="S181" s="552"/>
      <c r="T181" s="18"/>
      <c r="U181" s="18"/>
      <c r="V181" s="18"/>
    </row>
    <row r="182" spans="1:22" s="16" customFormat="1" ht="15.75" customHeight="1">
      <c r="A182" s="549" t="s">
        <v>581</v>
      </c>
      <c r="B182" s="549"/>
      <c r="C182" s="549"/>
      <c r="D182" s="549"/>
      <c r="E182" s="549"/>
      <c r="F182" s="549"/>
      <c r="G182" s="549"/>
      <c r="H182" s="549"/>
      <c r="I182" s="549"/>
      <c r="J182" s="550" t="s">
        <v>577</v>
      </c>
      <c r="K182" s="550"/>
      <c r="L182" s="550">
        <v>1</v>
      </c>
      <c r="M182" s="550"/>
      <c r="N182" s="551">
        <f>'BANCO DE DADOS'!$K$17</f>
        <v>32</v>
      </c>
      <c r="O182" s="550"/>
      <c r="P182" s="551">
        <f t="shared" si="9"/>
        <v>32</v>
      </c>
      <c r="Q182" s="550"/>
      <c r="R182" s="552"/>
      <c r="S182" s="552"/>
      <c r="T182" s="18"/>
      <c r="U182" s="18"/>
      <c r="V182" s="18"/>
    </row>
    <row r="183" spans="1:22" s="16" customFormat="1" ht="15.75" customHeight="1">
      <c r="A183" s="549" t="s">
        <v>582</v>
      </c>
      <c r="B183" s="549"/>
      <c r="C183" s="549"/>
      <c r="D183" s="549"/>
      <c r="E183" s="549"/>
      <c r="F183" s="549"/>
      <c r="G183" s="549"/>
      <c r="H183" s="549"/>
      <c r="I183" s="549"/>
      <c r="J183" s="550" t="s">
        <v>577</v>
      </c>
      <c r="K183" s="550"/>
      <c r="L183" s="550">
        <v>1</v>
      </c>
      <c r="M183" s="550"/>
      <c r="N183" s="551">
        <f>J223</f>
        <v>28.720000000000002</v>
      </c>
      <c r="O183" s="550"/>
      <c r="P183" s="551">
        <f t="shared" si="9"/>
        <v>28.720000000000002</v>
      </c>
      <c r="Q183" s="550"/>
      <c r="R183" s="552"/>
      <c r="S183" s="552"/>
      <c r="T183" s="18"/>
      <c r="U183" s="18"/>
      <c r="V183" s="18"/>
    </row>
    <row r="184" spans="1:22" s="16" customFormat="1" ht="15.75" customHeight="1">
      <c r="A184" s="561" t="s">
        <v>593</v>
      </c>
      <c r="B184" s="562"/>
      <c r="C184" s="562"/>
      <c r="D184" s="562"/>
      <c r="E184" s="562"/>
      <c r="F184" s="562"/>
      <c r="G184" s="562"/>
      <c r="H184" s="562"/>
      <c r="I184" s="562"/>
      <c r="J184" s="562"/>
      <c r="K184" s="562"/>
      <c r="L184" s="562"/>
      <c r="M184" s="562"/>
      <c r="N184" s="562"/>
      <c r="O184" s="563"/>
      <c r="P184" s="560">
        <f>SUM(P174:Q183)</f>
        <v>3443.9813360000003</v>
      </c>
      <c r="Q184" s="555"/>
      <c r="R184" s="565"/>
      <c r="S184" s="565"/>
      <c r="T184" s="18"/>
      <c r="U184" s="18"/>
      <c r="V184" s="18"/>
    </row>
    <row r="185" spans="1:22" s="16" customFormat="1" ht="15.75" customHeight="1">
      <c r="A185" s="549" t="s">
        <v>584</v>
      </c>
      <c r="B185" s="549"/>
      <c r="C185" s="549"/>
      <c r="D185" s="549"/>
      <c r="E185" s="549"/>
      <c r="F185" s="549"/>
      <c r="G185" s="549"/>
      <c r="H185" s="549"/>
      <c r="I185" s="549"/>
      <c r="J185" s="550" t="s">
        <v>585</v>
      </c>
      <c r="K185" s="550"/>
      <c r="L185" s="550">
        <f>R36</f>
        <v>2</v>
      </c>
      <c r="M185" s="550"/>
      <c r="N185" s="551">
        <f>P184</f>
        <v>3443.9813360000003</v>
      </c>
      <c r="O185" s="550"/>
      <c r="P185" s="551">
        <f>N185*L185</f>
        <v>6887.9626720000006</v>
      </c>
      <c r="Q185" s="550"/>
      <c r="R185" s="552"/>
      <c r="S185" s="552"/>
      <c r="T185" s="18"/>
      <c r="U185" s="18"/>
      <c r="V185" s="18"/>
    </row>
    <row r="186" spans="1:22" s="16" customFormat="1" ht="15.75" customHeight="1">
      <c r="A186" s="556" t="s">
        <v>587</v>
      </c>
      <c r="B186" s="557"/>
      <c r="C186" s="557"/>
      <c r="D186" s="557"/>
      <c r="E186" s="557"/>
      <c r="F186" s="557"/>
      <c r="G186" s="557"/>
      <c r="H186" s="557"/>
      <c r="I186" s="557"/>
      <c r="J186" s="557"/>
      <c r="K186" s="557"/>
      <c r="L186" s="557"/>
      <c r="M186" s="557"/>
      <c r="N186" s="557"/>
      <c r="O186" s="558"/>
      <c r="P186" s="559">
        <v>1</v>
      </c>
      <c r="Q186" s="559"/>
      <c r="R186" s="560">
        <f>P185*P186</f>
        <v>6887.9626720000006</v>
      </c>
      <c r="S186" s="555"/>
      <c r="T186" s="18"/>
      <c r="U186" s="18"/>
      <c r="V186" s="18"/>
    </row>
    <row r="187" spans="1:22">
      <c r="A187" s="47"/>
      <c r="B187" s="47"/>
      <c r="C187" s="48"/>
      <c r="D187" s="47"/>
      <c r="E187" s="48"/>
      <c r="F187" s="47"/>
      <c r="G187" s="47"/>
      <c r="H187" s="47"/>
      <c r="I187" s="47"/>
      <c r="J187" s="47"/>
      <c r="K187" s="47"/>
      <c r="L187" s="47"/>
      <c r="M187" s="47"/>
      <c r="N187" s="47"/>
      <c r="O187" s="47"/>
      <c r="P187" s="47"/>
      <c r="Q187" s="47"/>
      <c r="R187" s="49"/>
      <c r="S187" s="47"/>
    </row>
    <row r="188" spans="1:22" s="142" customFormat="1" ht="15.6">
      <c r="A188" s="583" t="s">
        <v>628</v>
      </c>
      <c r="B188" s="584"/>
      <c r="C188" s="584"/>
      <c r="D188" s="584"/>
      <c r="E188" s="584"/>
      <c r="F188" s="584"/>
      <c r="G188" s="584"/>
      <c r="H188" s="584"/>
      <c r="I188" s="585"/>
      <c r="J188" s="163"/>
      <c r="Q188" s="139"/>
    </row>
    <row r="189" spans="1:22" s="142" customFormat="1" ht="15.6">
      <c r="A189" s="586" t="s">
        <v>630</v>
      </c>
      <c r="B189" s="586"/>
      <c r="C189" s="586"/>
      <c r="D189" s="586"/>
      <c r="E189" s="586"/>
      <c r="F189" s="586"/>
      <c r="G189" s="586" t="s">
        <v>631</v>
      </c>
      <c r="H189" s="586"/>
      <c r="I189" s="418" t="s">
        <v>35</v>
      </c>
      <c r="J189" s="163"/>
      <c r="Q189" s="139"/>
    </row>
    <row r="190" spans="1:22" s="142" customFormat="1" ht="15.6">
      <c r="A190" s="578" t="s">
        <v>313</v>
      </c>
      <c r="B190" s="579"/>
      <c r="C190" s="579"/>
      <c r="D190" s="579"/>
      <c r="E190" s="579"/>
      <c r="F190" s="580"/>
      <c r="G190" s="581">
        <f>'BANCO DE DADOS'!E4</f>
        <v>1045</v>
      </c>
      <c r="H190" s="582"/>
      <c r="I190" s="417"/>
      <c r="J190" s="162"/>
      <c r="Q190" s="139"/>
    </row>
    <row r="191" spans="1:22" s="142" customFormat="1" ht="15.6">
      <c r="A191" s="578" t="s">
        <v>285</v>
      </c>
      <c r="B191" s="579"/>
      <c r="C191" s="579"/>
      <c r="D191" s="579"/>
      <c r="E191" s="579"/>
      <c r="F191" s="580"/>
      <c r="G191" s="581">
        <v>16</v>
      </c>
      <c r="H191" s="582"/>
      <c r="I191" s="417"/>
      <c r="J191" s="162"/>
      <c r="Q191" s="139"/>
    </row>
    <row r="192" spans="1:22" s="142" customFormat="1" ht="15.6">
      <c r="A192" s="578" t="s">
        <v>284</v>
      </c>
      <c r="B192" s="579"/>
      <c r="C192" s="579"/>
      <c r="D192" s="579"/>
      <c r="E192" s="579"/>
      <c r="F192" s="580"/>
      <c r="G192" s="581">
        <v>10</v>
      </c>
      <c r="H192" s="582"/>
      <c r="I192" s="417"/>
      <c r="J192" s="162"/>
      <c r="Q192" s="139"/>
    </row>
    <row r="193" spans="1:19" s="142" customFormat="1" ht="15.6">
      <c r="A193" s="578" t="s">
        <v>1</v>
      </c>
      <c r="B193" s="579"/>
      <c r="C193" s="579"/>
      <c r="D193" s="579"/>
      <c r="E193" s="579"/>
      <c r="F193" s="580"/>
      <c r="G193" s="620">
        <f>Encargos!C40</f>
        <v>0.85355440000000016</v>
      </c>
      <c r="H193" s="621"/>
      <c r="I193" s="417"/>
      <c r="J193" s="162"/>
      <c r="Q193" s="139"/>
    </row>
    <row r="194" spans="1:19" s="142" customFormat="1" ht="15.6">
      <c r="A194" s="578" t="s">
        <v>5</v>
      </c>
      <c r="B194" s="579"/>
      <c r="C194" s="579"/>
      <c r="D194" s="579"/>
      <c r="E194" s="579"/>
      <c r="F194" s="580"/>
      <c r="G194" s="581">
        <f>'BANCO DE DADOS'!K13</f>
        <v>3.2</v>
      </c>
      <c r="H194" s="582"/>
      <c r="I194" s="419">
        <f>(G194*2)*26</f>
        <v>166.4</v>
      </c>
      <c r="J194" s="162"/>
      <c r="Q194" s="139"/>
    </row>
    <row r="195" spans="1:19" s="142" customFormat="1" ht="15.6">
      <c r="A195" s="578" t="s">
        <v>6</v>
      </c>
      <c r="B195" s="579"/>
      <c r="C195" s="579"/>
      <c r="D195" s="579"/>
      <c r="E195" s="579"/>
      <c r="F195" s="580"/>
      <c r="G195" s="581">
        <f>'BANCO DE DADOS'!K16</f>
        <v>12.91</v>
      </c>
      <c r="H195" s="582"/>
      <c r="I195" s="417"/>
      <c r="J195" s="162"/>
      <c r="Q195" s="139"/>
      <c r="R195" s="9"/>
    </row>
    <row r="196" spans="1:19" s="142" customFormat="1" ht="15.75" customHeight="1">
      <c r="A196" s="578" t="s">
        <v>296</v>
      </c>
      <c r="B196" s="579"/>
      <c r="C196" s="579"/>
      <c r="D196" s="579"/>
      <c r="E196" s="579"/>
      <c r="F196" s="580"/>
      <c r="G196" s="581">
        <f>'BANCO DE DADOS'!K10</f>
        <v>180.15</v>
      </c>
      <c r="H196" s="582"/>
      <c r="I196" s="417"/>
      <c r="J196" s="162"/>
      <c r="Q196" s="139"/>
      <c r="R196" s="10"/>
    </row>
    <row r="197" spans="1:19" s="142" customFormat="1" ht="15.6">
      <c r="A197" s="578" t="s">
        <v>297</v>
      </c>
      <c r="B197" s="579"/>
      <c r="C197" s="579"/>
      <c r="D197" s="579"/>
      <c r="E197" s="579"/>
      <c r="F197" s="580"/>
      <c r="G197" s="581">
        <f>'BANCO DE DADOS'!M10</f>
        <v>171.52</v>
      </c>
      <c r="H197" s="582"/>
      <c r="I197" s="419"/>
      <c r="J197" s="162"/>
      <c r="Q197" s="139"/>
      <c r="R197" s="11"/>
    </row>
    <row r="198" spans="1:19" s="142" customFormat="1" ht="15.6">
      <c r="A198" s="578" t="s">
        <v>288</v>
      </c>
      <c r="B198" s="579"/>
      <c r="C198" s="579"/>
      <c r="D198" s="579"/>
      <c r="E198" s="579"/>
      <c r="F198" s="580"/>
      <c r="G198" s="581">
        <f>'BANCO DE DADOS'!K14</f>
        <v>15.37</v>
      </c>
      <c r="H198" s="582"/>
      <c r="I198" s="419">
        <f>G198*26</f>
        <v>399.62</v>
      </c>
      <c r="J198" s="162"/>
      <c r="Q198" s="139"/>
      <c r="R198" s="9"/>
    </row>
    <row r="199" spans="1:19">
      <c r="A199" s="57"/>
      <c r="B199" s="58"/>
      <c r="C199" s="336"/>
      <c r="D199" s="47"/>
      <c r="E199" s="48"/>
      <c r="F199" s="47"/>
      <c r="G199" s="47"/>
      <c r="H199" s="47"/>
      <c r="I199" s="47"/>
      <c r="J199" s="47"/>
      <c r="K199" s="47"/>
      <c r="L199" s="47"/>
      <c r="M199" s="47"/>
      <c r="N199" s="47"/>
      <c r="O199" s="47"/>
      <c r="P199" s="47"/>
      <c r="Q199" s="47"/>
      <c r="R199" s="49"/>
      <c r="S199" s="47"/>
    </row>
    <row r="200" spans="1:19">
      <c r="A200" s="622" t="s">
        <v>56</v>
      </c>
      <c r="B200" s="622"/>
      <c r="C200" s="622"/>
      <c r="D200" s="622"/>
      <c r="E200" s="622"/>
      <c r="F200" s="622"/>
      <c r="G200" s="622"/>
      <c r="H200" s="622"/>
      <c r="I200" s="622"/>
      <c r="J200" s="622"/>
      <c r="K200" s="622"/>
      <c r="L200" s="622"/>
      <c r="M200" s="622"/>
      <c r="N200" s="622"/>
      <c r="O200" s="622"/>
      <c r="P200" s="399"/>
      <c r="Q200" s="399"/>
      <c r="R200" s="399"/>
      <c r="S200" s="399"/>
    </row>
    <row r="201" spans="1:19">
      <c r="A201" s="594" t="s">
        <v>13</v>
      </c>
      <c r="B201" s="594"/>
      <c r="C201" s="594"/>
      <c r="D201" s="594"/>
      <c r="E201" s="594"/>
      <c r="F201" s="594"/>
      <c r="G201" s="592" t="s">
        <v>16</v>
      </c>
      <c r="H201" s="593" t="s">
        <v>648</v>
      </c>
      <c r="I201" s="593"/>
      <c r="J201" s="593"/>
      <c r="K201" s="593"/>
      <c r="L201" s="625" t="s">
        <v>74</v>
      </c>
      <c r="M201" s="626"/>
      <c r="N201" s="626"/>
      <c r="O201" s="627"/>
      <c r="P201" s="47"/>
      <c r="Q201" s="47"/>
      <c r="R201" s="49"/>
      <c r="S201" s="47"/>
    </row>
    <row r="202" spans="1:19" ht="33" customHeight="1">
      <c r="A202" s="594"/>
      <c r="B202" s="594"/>
      <c r="C202" s="594"/>
      <c r="D202" s="594"/>
      <c r="E202" s="594"/>
      <c r="F202" s="594"/>
      <c r="G202" s="592"/>
      <c r="H202" s="594" t="s">
        <v>33</v>
      </c>
      <c r="I202" s="594"/>
      <c r="J202" s="592" t="s">
        <v>32</v>
      </c>
      <c r="K202" s="592"/>
      <c r="L202" s="594" t="s">
        <v>33</v>
      </c>
      <c r="M202" s="594"/>
      <c r="N202" s="592" t="s">
        <v>32</v>
      </c>
      <c r="O202" s="592"/>
      <c r="P202" s="56"/>
      <c r="Q202" s="336"/>
      <c r="R202" s="56"/>
      <c r="S202" s="56"/>
    </row>
    <row r="203" spans="1:19" ht="15" customHeight="1">
      <c r="A203" s="589" t="str">
        <f>'BANCO DE DADOS'!B22</f>
        <v>Calça de brim c/ refletor</v>
      </c>
      <c r="B203" s="590"/>
      <c r="C203" s="590"/>
      <c r="D203" s="590"/>
      <c r="E203" s="590"/>
      <c r="F203" s="591"/>
      <c r="G203" s="338">
        <f>VLOOKUP(A203,'BANCO DE DADOS'!$B$22:$F$39,4,0)</f>
        <v>39.520000000000003</v>
      </c>
      <c r="H203" s="566">
        <f>4/12</f>
        <v>0.33333333333333331</v>
      </c>
      <c r="I203" s="567"/>
      <c r="J203" s="568">
        <f t="shared" ref="J203:J216" si="10">ROUND(G203*H203,2)</f>
        <v>13.17</v>
      </c>
      <c r="K203" s="568"/>
      <c r="L203" s="566">
        <f>3/12</f>
        <v>0.25</v>
      </c>
      <c r="M203" s="567"/>
      <c r="N203" s="568">
        <f t="shared" ref="N203:N216" si="11">ROUND(G203*L203,2)</f>
        <v>9.8800000000000008</v>
      </c>
      <c r="O203" s="568"/>
      <c r="P203" s="56"/>
      <c r="Q203" s="56"/>
      <c r="R203" s="56"/>
      <c r="S203" s="56"/>
    </row>
    <row r="204" spans="1:19" ht="15" customHeight="1">
      <c r="A204" s="589" t="str">
        <f>'BANCO DE DADOS'!B23</f>
        <v>Boné</v>
      </c>
      <c r="B204" s="590"/>
      <c r="C204" s="590"/>
      <c r="D204" s="590"/>
      <c r="E204" s="590"/>
      <c r="F204" s="591"/>
      <c r="G204" s="338">
        <f>VLOOKUP(A204,'BANCO DE DADOS'!$B$22:$F$39,4,0)</f>
        <v>7.82</v>
      </c>
      <c r="H204" s="566">
        <f>4/12</f>
        <v>0.33333333333333331</v>
      </c>
      <c r="I204" s="567"/>
      <c r="J204" s="568">
        <f t="shared" si="10"/>
        <v>2.61</v>
      </c>
      <c r="K204" s="568"/>
      <c r="L204" s="566">
        <f>3/12</f>
        <v>0.25</v>
      </c>
      <c r="M204" s="567"/>
      <c r="N204" s="568">
        <f t="shared" si="11"/>
        <v>1.96</v>
      </c>
      <c r="O204" s="568"/>
      <c r="P204" s="56"/>
      <c r="Q204" s="56"/>
      <c r="R204" s="56"/>
      <c r="S204" s="56"/>
    </row>
    <row r="205" spans="1:19" ht="15" customHeight="1">
      <c r="A205" s="589" t="str">
        <f>'BANCO DE DADOS'!B24</f>
        <v>Camisa de malha c/ refletor</v>
      </c>
      <c r="B205" s="590"/>
      <c r="C205" s="590"/>
      <c r="D205" s="590"/>
      <c r="E205" s="590"/>
      <c r="F205" s="591"/>
      <c r="G205" s="338">
        <f>VLOOKUP(A205,'BANCO DE DADOS'!$B$22:$F$39,4,0)</f>
        <v>22</v>
      </c>
      <c r="H205" s="566">
        <f>4/12</f>
        <v>0.33333333333333331</v>
      </c>
      <c r="I205" s="567"/>
      <c r="J205" s="568">
        <f t="shared" si="10"/>
        <v>7.33</v>
      </c>
      <c r="K205" s="568"/>
      <c r="L205" s="566">
        <f>3/12</f>
        <v>0.25</v>
      </c>
      <c r="M205" s="567"/>
      <c r="N205" s="568">
        <f t="shared" si="11"/>
        <v>5.5</v>
      </c>
      <c r="O205" s="568"/>
      <c r="P205" s="56"/>
      <c r="Q205" s="56"/>
      <c r="R205" s="56"/>
      <c r="S205" s="56"/>
    </row>
    <row r="206" spans="1:19" ht="15" customHeight="1">
      <c r="A206" s="589" t="str">
        <f>'BANCO DE DADOS'!B25</f>
        <v>Botina de Elástico com Bico Plástico N38 Vulcaflex 10VB48-BP - Marluvas</v>
      </c>
      <c r="B206" s="590"/>
      <c r="C206" s="590"/>
      <c r="D206" s="590"/>
      <c r="E206" s="590"/>
      <c r="F206" s="591"/>
      <c r="G206" s="338">
        <f>VLOOKUP(A206,'BANCO DE DADOS'!$B$22:$F$39,4,0)</f>
        <v>42.3</v>
      </c>
      <c r="H206" s="566">
        <f>2/12</f>
        <v>0.16666666666666666</v>
      </c>
      <c r="I206" s="567"/>
      <c r="J206" s="568">
        <f t="shared" si="10"/>
        <v>7.05</v>
      </c>
      <c r="K206" s="568"/>
      <c r="L206" s="566">
        <f>4/12</f>
        <v>0.33333333333333331</v>
      </c>
      <c r="M206" s="567"/>
      <c r="N206" s="568">
        <f t="shared" si="11"/>
        <v>14.1</v>
      </c>
      <c r="O206" s="568"/>
      <c r="P206" s="56"/>
      <c r="Q206" s="56"/>
      <c r="R206" s="56"/>
      <c r="S206" s="56"/>
    </row>
    <row r="207" spans="1:19" ht="15" customHeight="1">
      <c r="A207" s="589" t="str">
        <f>'BANCO DE DADOS'!B29</f>
        <v>Luva de Raspa</v>
      </c>
      <c r="B207" s="590"/>
      <c r="C207" s="590"/>
      <c r="D207" s="590"/>
      <c r="E207" s="590"/>
      <c r="F207" s="591"/>
      <c r="G207" s="338">
        <f>VLOOKUP(A207,'BANCO DE DADOS'!$B$22:$F$39,4,0)</f>
        <v>7.58</v>
      </c>
      <c r="H207" s="566">
        <f>18/12</f>
        <v>1.5</v>
      </c>
      <c r="I207" s="567"/>
      <c r="J207" s="568">
        <f t="shared" si="10"/>
        <v>11.37</v>
      </c>
      <c r="K207" s="568"/>
      <c r="L207" s="566">
        <f>2/12</f>
        <v>0.16666666666666666</v>
      </c>
      <c r="M207" s="567"/>
      <c r="N207" s="568">
        <f t="shared" si="11"/>
        <v>1.26</v>
      </c>
      <c r="O207" s="568"/>
      <c r="P207" s="56"/>
      <c r="Q207" s="56"/>
      <c r="R207" s="56"/>
      <c r="S207" s="56"/>
    </row>
    <row r="208" spans="1:19" ht="15" customHeight="1">
      <c r="A208" s="589" t="str">
        <f>'BANCO DE DADOS'!B30</f>
        <v>Protetor solar FPS 30 UVA e UVB</v>
      </c>
      <c r="B208" s="590"/>
      <c r="C208" s="590"/>
      <c r="D208" s="590"/>
      <c r="E208" s="590"/>
      <c r="F208" s="591"/>
      <c r="G208" s="338">
        <f>VLOOKUP(A208,'BANCO DE DADOS'!$B$22:$F$39,4,0)</f>
        <v>16.850000000000001</v>
      </c>
      <c r="H208" s="566">
        <f>12/12</f>
        <v>1</v>
      </c>
      <c r="I208" s="567"/>
      <c r="J208" s="568">
        <f t="shared" si="10"/>
        <v>16.850000000000001</v>
      </c>
      <c r="K208" s="568"/>
      <c r="L208" s="566">
        <f>H208</f>
        <v>1</v>
      </c>
      <c r="M208" s="567"/>
      <c r="N208" s="568">
        <f t="shared" si="11"/>
        <v>16.850000000000001</v>
      </c>
      <c r="O208" s="568"/>
      <c r="P208" s="56"/>
      <c r="Q208" s="56"/>
      <c r="R208" s="56"/>
      <c r="S208" s="56"/>
    </row>
    <row r="209" spans="1:29" ht="15" customHeight="1">
      <c r="A209" s="589" t="str">
        <f>'BANCO DE DADOS'!B37</f>
        <v xml:space="preserve">Máscara Contra Poeira </v>
      </c>
      <c r="B209" s="590"/>
      <c r="C209" s="590"/>
      <c r="D209" s="590"/>
      <c r="E209" s="590"/>
      <c r="F209" s="591"/>
      <c r="G209" s="338">
        <f>VLOOKUP(A209,'BANCO DE DADOS'!$B$22:$F$39,4,0)</f>
        <v>2.04</v>
      </c>
      <c r="H209" s="566">
        <f>12/12</f>
        <v>1</v>
      </c>
      <c r="I209" s="567"/>
      <c r="J209" s="568">
        <f t="shared" si="10"/>
        <v>2.04</v>
      </c>
      <c r="K209" s="568"/>
      <c r="L209" s="566">
        <v>0</v>
      </c>
      <c r="M209" s="567"/>
      <c r="N209" s="568">
        <f t="shared" si="11"/>
        <v>0</v>
      </c>
      <c r="O209" s="568"/>
      <c r="P209" s="56"/>
      <c r="Q209" s="56"/>
      <c r="R209" s="56"/>
      <c r="S209" s="56"/>
    </row>
    <row r="210" spans="1:29" ht="15" customHeight="1">
      <c r="A210" s="589" t="str">
        <f>'BANCO DE DADOS'!B32</f>
        <v>Protetor Auricular 14db Tipo Concha PPA06 - Proteplus</v>
      </c>
      <c r="B210" s="590"/>
      <c r="C210" s="590"/>
      <c r="D210" s="590"/>
      <c r="E210" s="590"/>
      <c r="F210" s="591"/>
      <c r="G210" s="338">
        <f>VLOOKUP(A210,'BANCO DE DADOS'!$B$22:$F$39,4,0)</f>
        <v>10</v>
      </c>
      <c r="H210" s="566">
        <f>4/12</f>
        <v>0.33333333333333331</v>
      </c>
      <c r="I210" s="567"/>
      <c r="J210" s="568">
        <f t="shared" si="10"/>
        <v>3.33</v>
      </c>
      <c r="K210" s="568"/>
      <c r="L210" s="566">
        <f>H210</f>
        <v>0.33333333333333331</v>
      </c>
      <c r="M210" s="567"/>
      <c r="N210" s="568">
        <f t="shared" si="11"/>
        <v>3.33</v>
      </c>
      <c r="O210" s="568"/>
      <c r="P210" s="56"/>
      <c r="Q210" s="56"/>
      <c r="R210" s="56"/>
      <c r="S210" s="56"/>
    </row>
    <row r="211" spans="1:29" ht="15" customHeight="1">
      <c r="A211" s="589" t="str">
        <f>'BANCO DE DADOS'!B33</f>
        <v>Óculos Proteção Lateral Incolor Foxter</v>
      </c>
      <c r="B211" s="590"/>
      <c r="C211" s="590"/>
      <c r="D211" s="590"/>
      <c r="E211" s="590"/>
      <c r="F211" s="591"/>
      <c r="G211" s="338">
        <f>VLOOKUP(A211,'BANCO DE DADOS'!$B$22:$F$39,4,0)</f>
        <v>12.46</v>
      </c>
      <c r="H211" s="566">
        <f>6/12</f>
        <v>0.5</v>
      </c>
      <c r="I211" s="567"/>
      <c r="J211" s="568">
        <f t="shared" si="10"/>
        <v>6.23</v>
      </c>
      <c r="K211" s="568"/>
      <c r="L211" s="566">
        <f>6/12</f>
        <v>0.5</v>
      </c>
      <c r="M211" s="567"/>
      <c r="N211" s="568">
        <f t="shared" si="11"/>
        <v>6.23</v>
      </c>
      <c r="O211" s="568"/>
      <c r="P211" s="56"/>
      <c r="Q211" s="56"/>
      <c r="R211" s="56"/>
      <c r="S211" s="56"/>
    </row>
    <row r="212" spans="1:29">
      <c r="A212" s="589" t="str">
        <f>'BANCO DE DADOS'!B31</f>
        <v>Perneira de Raspa com Velcro - Curtluvas</v>
      </c>
      <c r="B212" s="590"/>
      <c r="C212" s="590"/>
      <c r="D212" s="590"/>
      <c r="E212" s="590"/>
      <c r="F212" s="591"/>
      <c r="G212" s="338">
        <f>VLOOKUP(A212,'BANCO DE DADOS'!$B$22:$F$39,4,0)</f>
        <v>29.85</v>
      </c>
      <c r="H212" s="566">
        <f>6/12</f>
        <v>0.5</v>
      </c>
      <c r="I212" s="567"/>
      <c r="J212" s="568">
        <f t="shared" si="10"/>
        <v>14.93</v>
      </c>
      <c r="K212" s="568"/>
      <c r="L212" s="566">
        <v>0</v>
      </c>
      <c r="M212" s="567"/>
      <c r="N212" s="568">
        <f t="shared" si="11"/>
        <v>0</v>
      </c>
      <c r="O212" s="568"/>
      <c r="P212" s="56"/>
      <c r="Q212" s="56"/>
      <c r="R212" s="56"/>
      <c r="S212" s="56"/>
    </row>
    <row r="213" spans="1:29">
      <c r="A213" s="589" t="str">
        <f>'BANCO DE DADOS'!B26</f>
        <v>Capa de chuva em plástico</v>
      </c>
      <c r="B213" s="590"/>
      <c r="C213" s="590"/>
      <c r="D213" s="590"/>
      <c r="E213" s="590"/>
      <c r="F213" s="591"/>
      <c r="G213" s="338">
        <f>VLOOKUP(A213,'BANCO DE DADOS'!$B$22:$F$39,4,0)</f>
        <v>21.5</v>
      </c>
      <c r="H213" s="566">
        <f>12/12</f>
        <v>1</v>
      </c>
      <c r="I213" s="567"/>
      <c r="J213" s="568">
        <f t="shared" si="10"/>
        <v>21.5</v>
      </c>
      <c r="K213" s="568"/>
      <c r="L213" s="566">
        <f>H213</f>
        <v>1</v>
      </c>
      <c r="M213" s="567"/>
      <c r="N213" s="568">
        <f t="shared" si="11"/>
        <v>21.5</v>
      </c>
      <c r="O213" s="568"/>
      <c r="P213" s="56"/>
      <c r="Q213" s="56"/>
      <c r="R213" s="56"/>
      <c r="S213" s="56"/>
    </row>
    <row r="214" spans="1:29">
      <c r="A214" s="589" t="str">
        <f>'BANCO DE DADOS'!B39</f>
        <v>Avental de Raspa</v>
      </c>
      <c r="B214" s="590"/>
      <c r="C214" s="590"/>
      <c r="D214" s="590"/>
      <c r="E214" s="590"/>
      <c r="F214" s="591"/>
      <c r="G214" s="338">
        <f>VLOOKUP(A214,'BANCO DE DADOS'!$B$22:$F$39,4,0)</f>
        <v>50.29</v>
      </c>
      <c r="H214" s="566">
        <f>6/12</f>
        <v>0.5</v>
      </c>
      <c r="I214" s="567"/>
      <c r="J214" s="568">
        <f t="shared" si="10"/>
        <v>25.15</v>
      </c>
      <c r="K214" s="568"/>
      <c r="L214" s="566">
        <f>H214</f>
        <v>0.5</v>
      </c>
      <c r="M214" s="567"/>
      <c r="N214" s="568">
        <f t="shared" si="11"/>
        <v>25.15</v>
      </c>
      <c r="O214" s="568"/>
      <c r="P214" s="56"/>
      <c r="Q214" s="56"/>
      <c r="R214" s="56"/>
      <c r="S214" s="56"/>
    </row>
    <row r="215" spans="1:29">
      <c r="A215" s="589" t="str">
        <f>'BANCO DE DADOS'!B35</f>
        <v xml:space="preserve">Macacão Impermeável </v>
      </c>
      <c r="B215" s="590"/>
      <c r="C215" s="590"/>
      <c r="D215" s="590"/>
      <c r="E215" s="590"/>
      <c r="F215" s="591"/>
      <c r="G215" s="338">
        <f>VLOOKUP(A215,'BANCO DE DADOS'!$B$22:$F$39,4,0)</f>
        <v>23</v>
      </c>
      <c r="H215" s="566">
        <f>2/12</f>
        <v>0.16666666666666666</v>
      </c>
      <c r="I215" s="567"/>
      <c r="J215" s="568">
        <f t="shared" si="10"/>
        <v>3.83</v>
      </c>
      <c r="K215" s="568"/>
      <c r="L215" s="566">
        <f>H215</f>
        <v>0.16666666666666666</v>
      </c>
      <c r="M215" s="567"/>
      <c r="N215" s="568">
        <f t="shared" si="11"/>
        <v>3.83</v>
      </c>
      <c r="O215" s="568"/>
      <c r="P215" s="56"/>
      <c r="Q215" s="56"/>
      <c r="R215" s="56"/>
      <c r="S215" s="56"/>
    </row>
    <row r="216" spans="1:29">
      <c r="A216" s="589" t="str">
        <f>'BANCO DE DADOS'!B36</f>
        <v>Máscara para filtro químico</v>
      </c>
      <c r="B216" s="590"/>
      <c r="C216" s="590"/>
      <c r="D216" s="590"/>
      <c r="E216" s="590"/>
      <c r="F216" s="591"/>
      <c r="G216" s="338">
        <f>VLOOKUP(A216,'BANCO DE DADOS'!$B$22:$F$39,4,0)</f>
        <v>89</v>
      </c>
      <c r="H216" s="566">
        <f>1/12</f>
        <v>8.3333333333333329E-2</v>
      </c>
      <c r="I216" s="567"/>
      <c r="J216" s="568">
        <f t="shared" si="10"/>
        <v>7.42</v>
      </c>
      <c r="K216" s="568"/>
      <c r="L216" s="566">
        <f>H216</f>
        <v>8.3333333333333329E-2</v>
      </c>
      <c r="M216" s="567"/>
      <c r="N216" s="568">
        <f t="shared" si="11"/>
        <v>7.42</v>
      </c>
      <c r="O216" s="568"/>
      <c r="P216" s="56"/>
      <c r="Q216" s="56"/>
      <c r="R216" s="56"/>
      <c r="S216" s="56"/>
    </row>
    <row r="217" spans="1:29">
      <c r="A217" s="598" t="s">
        <v>34</v>
      </c>
      <c r="B217" s="598"/>
      <c r="C217" s="598"/>
      <c r="D217" s="598"/>
      <c r="E217" s="598"/>
      <c r="F217" s="598"/>
      <c r="G217" s="598"/>
      <c r="H217" s="598"/>
      <c r="I217" s="598"/>
      <c r="J217" s="588">
        <f>SUM(J203:K216)</f>
        <v>142.81</v>
      </c>
      <c r="K217" s="588"/>
      <c r="L217" s="587"/>
      <c r="M217" s="587"/>
      <c r="N217" s="588">
        <f>SUM(N203:N216)</f>
        <v>117.00999999999999</v>
      </c>
      <c r="O217" s="588"/>
      <c r="P217" s="56"/>
      <c r="Q217" s="56"/>
      <c r="R217" s="56"/>
      <c r="S217" s="56"/>
    </row>
    <row r="218" spans="1:29">
      <c r="A218" s="46"/>
      <c r="B218" s="46"/>
      <c r="C218" s="46"/>
      <c r="D218" s="46"/>
      <c r="E218" s="46"/>
      <c r="F218" s="46"/>
      <c r="G218" s="46"/>
      <c r="H218" s="45"/>
      <c r="I218" s="56"/>
      <c r="J218" s="46"/>
      <c r="K218" s="46"/>
      <c r="L218" s="46"/>
      <c r="M218" s="46"/>
      <c r="N218" s="46"/>
      <c r="O218" s="46"/>
      <c r="P218" s="46"/>
      <c r="Q218" s="46"/>
      <c r="R218" s="71"/>
      <c r="S218" s="46"/>
    </row>
    <row r="219" spans="1:29" s="16" customFormat="1" ht="15.6">
      <c r="A219" s="633" t="s">
        <v>649</v>
      </c>
      <c r="B219" s="633"/>
      <c r="C219" s="633"/>
      <c r="D219" s="633"/>
      <c r="E219" s="633"/>
      <c r="F219" s="633"/>
      <c r="G219" s="633"/>
      <c r="H219" s="633"/>
      <c r="I219" s="633"/>
      <c r="J219" s="633"/>
      <c r="K219" s="633"/>
      <c r="L219" s="14"/>
      <c r="M219" s="14"/>
      <c r="N219" s="435"/>
      <c r="O219" s="435"/>
      <c r="P219" s="436"/>
      <c r="Q219" s="437"/>
      <c r="R219" s="329"/>
      <c r="U219" s="434"/>
      <c r="W219" s="17"/>
      <c r="X219" s="17"/>
      <c r="AC219" s="17"/>
    </row>
    <row r="220" spans="1:29" s="16" customFormat="1" ht="24" customHeight="1">
      <c r="A220" s="628" t="s">
        <v>13</v>
      </c>
      <c r="B220" s="628"/>
      <c r="C220" s="628"/>
      <c r="D220" s="628"/>
      <c r="E220" s="628"/>
      <c r="F220" s="628"/>
      <c r="G220" s="433" t="s">
        <v>16</v>
      </c>
      <c r="H220" s="628" t="s">
        <v>33</v>
      </c>
      <c r="I220" s="628"/>
      <c r="J220" s="634" t="s">
        <v>32</v>
      </c>
      <c r="K220" s="634"/>
      <c r="L220" s="437"/>
      <c r="M220" s="437"/>
      <c r="N220" s="436"/>
      <c r="O220" s="437"/>
      <c r="P220" s="436"/>
      <c r="Q220" s="437"/>
      <c r="R220" s="329"/>
      <c r="U220" s="434"/>
      <c r="W220" s="17"/>
      <c r="X220" s="17"/>
      <c r="AC220" s="17"/>
    </row>
    <row r="221" spans="1:29" s="16" customFormat="1" ht="13.2">
      <c r="A221" s="629" t="s">
        <v>650</v>
      </c>
      <c r="B221" s="629"/>
      <c r="C221" s="629"/>
      <c r="D221" s="629"/>
      <c r="E221" s="629"/>
      <c r="F221" s="629"/>
      <c r="G221" s="346">
        <v>65</v>
      </c>
      <c r="H221" s="587">
        <f>4/12</f>
        <v>0.33333333333333331</v>
      </c>
      <c r="I221" s="587"/>
      <c r="J221" s="623">
        <f>ROUND(G221*H221,2)</f>
        <v>21.67</v>
      </c>
      <c r="K221" s="623"/>
      <c r="L221" s="437"/>
      <c r="M221" s="437"/>
      <c r="N221" s="436"/>
      <c r="O221" s="437"/>
      <c r="P221" s="436"/>
      <c r="Q221" s="437"/>
      <c r="R221" s="329"/>
      <c r="U221" s="434"/>
      <c r="W221" s="17"/>
      <c r="X221" s="17"/>
      <c r="AC221" s="17"/>
    </row>
    <row r="222" spans="1:29" s="16" customFormat="1" ht="13.2">
      <c r="A222" s="629" t="str">
        <f>'BANCO DE DADOS'!B25</f>
        <v>Botina de Elástico com Bico Plástico N38 Vulcaflex 10VB48-BP - Marluvas</v>
      </c>
      <c r="B222" s="629"/>
      <c r="C222" s="629"/>
      <c r="D222" s="629"/>
      <c r="E222" s="629"/>
      <c r="F222" s="629"/>
      <c r="G222" s="346">
        <f>G206</f>
        <v>42.3</v>
      </c>
      <c r="H222" s="587">
        <f>2/12</f>
        <v>0.16666666666666666</v>
      </c>
      <c r="I222" s="587"/>
      <c r="J222" s="623">
        <f>ROUND(G222*H222,2)</f>
        <v>7.05</v>
      </c>
      <c r="K222" s="623"/>
      <c r="L222" s="437"/>
      <c r="M222" s="437"/>
      <c r="N222" s="436"/>
      <c r="O222" s="437"/>
      <c r="P222" s="436"/>
      <c r="Q222" s="437"/>
      <c r="R222" s="329"/>
      <c r="U222" s="434"/>
      <c r="W222" s="17"/>
      <c r="X222" s="17"/>
      <c r="AC222" s="17"/>
    </row>
    <row r="223" spans="1:29" s="16" customFormat="1" ht="15.6">
      <c r="A223" s="632" t="s">
        <v>34</v>
      </c>
      <c r="B223" s="632"/>
      <c r="C223" s="632"/>
      <c r="D223" s="632"/>
      <c r="E223" s="632"/>
      <c r="F223" s="632"/>
      <c r="G223" s="632"/>
      <c r="H223" s="632"/>
      <c r="I223" s="632"/>
      <c r="J223" s="624">
        <f>SUM(J221:K222)</f>
        <v>28.720000000000002</v>
      </c>
      <c r="K223" s="624"/>
      <c r="L223" s="437"/>
      <c r="M223" s="437"/>
      <c r="N223" s="436"/>
      <c r="O223" s="437"/>
      <c r="P223" s="436"/>
      <c r="Q223" s="437"/>
      <c r="R223" s="329"/>
      <c r="U223" s="434"/>
      <c r="W223" s="17"/>
      <c r="X223" s="17"/>
      <c r="AC223" s="17"/>
    </row>
    <row r="224" spans="1:29" s="16" customFormat="1" ht="13.2">
      <c r="A224" s="439"/>
      <c r="B224" s="440"/>
      <c r="C224" s="441"/>
      <c r="D224" s="441"/>
      <c r="E224" s="438"/>
      <c r="F224" s="438"/>
      <c r="G224" s="436"/>
      <c r="H224" s="438"/>
      <c r="I224" s="436"/>
      <c r="J224" s="437"/>
      <c r="K224" s="436"/>
      <c r="L224" s="437"/>
      <c r="M224" s="437"/>
      <c r="N224" s="436"/>
      <c r="O224" s="437"/>
      <c r="P224" s="436"/>
      <c r="Q224" s="437"/>
      <c r="R224" s="329"/>
      <c r="U224" s="434"/>
      <c r="W224" s="17"/>
      <c r="X224" s="17"/>
      <c r="AC224" s="17"/>
    </row>
    <row r="225" spans="1:31" s="51" customFormat="1" ht="13.8">
      <c r="A225" s="599" t="s">
        <v>652</v>
      </c>
      <c r="B225" s="599"/>
      <c r="C225" s="599"/>
      <c r="D225" s="599"/>
      <c r="E225" s="599"/>
      <c r="F225" s="599"/>
      <c r="G225" s="599"/>
      <c r="H225" s="599"/>
      <c r="I225" s="599"/>
      <c r="J225" s="599"/>
      <c r="K225" s="46"/>
      <c r="L225" s="46"/>
      <c r="M225" s="46"/>
      <c r="N225" s="46"/>
      <c r="O225" s="46"/>
      <c r="P225" s="46"/>
      <c r="Q225" s="46"/>
      <c r="R225" s="73"/>
      <c r="S225" s="46"/>
      <c r="T225" s="72"/>
      <c r="U225" s="72"/>
      <c r="V225" s="72"/>
      <c r="X225" s="64"/>
      <c r="Y225" s="64"/>
      <c r="AD225" s="64"/>
    </row>
    <row r="226" spans="1:31" s="51" customFormat="1" ht="13.8">
      <c r="A226" s="569" t="str">
        <f>'BANCO DE DADOS'!D75</f>
        <v>LOCAÇÃO VEÍCULO TIPO PICAPE LEVE C/ SEGURO</v>
      </c>
      <c r="B226" s="570"/>
      <c r="C226" s="570"/>
      <c r="D226" s="570"/>
      <c r="E226" s="570"/>
      <c r="F226" s="570"/>
      <c r="G226" s="570"/>
      <c r="H226" s="570"/>
      <c r="I226" s="571">
        <f>'BANCO DE DADOS'!J75</f>
        <v>1890</v>
      </c>
      <c r="J226" s="571"/>
      <c r="K226" s="46"/>
      <c r="L226" s="46"/>
      <c r="M226" s="46"/>
      <c r="N226" s="46"/>
      <c r="O226" s="46"/>
      <c r="P226" s="46"/>
      <c r="Q226" s="46"/>
      <c r="R226" s="73"/>
      <c r="S226" s="46"/>
      <c r="T226" s="72"/>
      <c r="U226" s="72"/>
      <c r="V226" s="72"/>
      <c r="X226" s="64"/>
      <c r="Y226" s="64"/>
      <c r="AD226" s="64"/>
    </row>
    <row r="227" spans="1:31" s="51" customFormat="1" ht="13.8">
      <c r="A227" s="572" t="s">
        <v>384</v>
      </c>
      <c r="B227" s="572"/>
      <c r="C227" s="572"/>
      <c r="D227" s="572"/>
      <c r="E227" s="572"/>
      <c r="F227" s="572"/>
      <c r="G227" s="572"/>
      <c r="H227" s="572"/>
      <c r="I227" s="571">
        <f>'BANCO DE DADOS'!D78</f>
        <v>600</v>
      </c>
      <c r="J227" s="571"/>
      <c r="K227" s="46"/>
      <c r="L227" s="46"/>
      <c r="M227" s="46"/>
      <c r="N227" s="46"/>
      <c r="O227" s="46"/>
      <c r="P227" s="46"/>
      <c r="Q227" s="46"/>
      <c r="R227" s="73"/>
      <c r="S227" s="46"/>
      <c r="T227" s="72"/>
      <c r="U227" s="72"/>
      <c r="V227" s="72"/>
      <c r="X227" s="64"/>
      <c r="Y227" s="64"/>
      <c r="AD227" s="64"/>
    </row>
    <row r="228" spans="1:31" s="51" customFormat="1" ht="13.8">
      <c r="A228" s="569" t="str">
        <f>'BANCO DE DADOS'!D74</f>
        <v>LOCAÇÃO VEÍCULO POPULAR MOTOR 1.0 C/ AR E SEGURO</v>
      </c>
      <c r="B228" s="570"/>
      <c r="C228" s="570"/>
      <c r="D228" s="570"/>
      <c r="E228" s="570"/>
      <c r="F228" s="570"/>
      <c r="G228" s="570"/>
      <c r="H228" s="570"/>
      <c r="I228" s="571">
        <f>'BANCO DE DADOS'!J74</f>
        <v>1611</v>
      </c>
      <c r="J228" s="571"/>
      <c r="K228" s="46"/>
      <c r="L228" s="46"/>
      <c r="M228" s="46"/>
      <c r="N228" s="46"/>
      <c r="O228" s="46"/>
      <c r="P228" s="46"/>
      <c r="Q228" s="46"/>
      <c r="R228" s="73"/>
      <c r="S228" s="46"/>
      <c r="T228" s="72"/>
      <c r="U228" s="72"/>
      <c r="V228" s="72"/>
      <c r="X228" s="64"/>
      <c r="Y228" s="64"/>
      <c r="AD228" s="64"/>
    </row>
    <row r="229" spans="1:31" s="51" customFormat="1" ht="13.8">
      <c r="A229" s="572" t="s">
        <v>384</v>
      </c>
      <c r="B229" s="572"/>
      <c r="C229" s="572"/>
      <c r="D229" s="572"/>
      <c r="E229" s="572"/>
      <c r="F229" s="572"/>
      <c r="G229" s="572"/>
      <c r="H229" s="572"/>
      <c r="I229" s="571">
        <f>'BANCO DE DADOS'!D78</f>
        <v>600</v>
      </c>
      <c r="J229" s="571"/>
      <c r="K229" s="46"/>
      <c r="L229" s="46"/>
      <c r="M229" s="46"/>
      <c r="N229" s="46"/>
      <c r="O229" s="46"/>
      <c r="P229" s="46"/>
      <c r="Q229" s="46"/>
      <c r="R229" s="73"/>
      <c r="S229" s="46"/>
      <c r="T229" s="72"/>
      <c r="U229" s="72"/>
      <c r="V229" s="72"/>
      <c r="X229" s="64"/>
      <c r="Y229" s="64"/>
      <c r="AD229" s="64"/>
    </row>
    <row r="230" spans="1:31" s="51" customFormat="1" ht="18">
      <c r="A230" s="573" t="s">
        <v>210</v>
      </c>
      <c r="B230" s="573"/>
      <c r="C230" s="573"/>
      <c r="D230" s="573"/>
      <c r="E230" s="573"/>
      <c r="F230" s="573"/>
      <c r="G230" s="573"/>
      <c r="H230" s="574">
        <f>SUM(I226:J229)</f>
        <v>4701</v>
      </c>
      <c r="I230" s="575"/>
      <c r="J230" s="575"/>
      <c r="K230" s="46"/>
      <c r="L230" s="46"/>
      <c r="M230" s="46"/>
      <c r="N230" s="46"/>
      <c r="O230" s="46"/>
      <c r="P230" s="46"/>
      <c r="Q230" s="46"/>
      <c r="R230" s="73"/>
      <c r="S230" s="46"/>
      <c r="T230" s="72"/>
      <c r="U230" s="72"/>
      <c r="V230" s="72"/>
      <c r="X230" s="64"/>
      <c r="Y230" s="64"/>
      <c r="AD230" s="64"/>
    </row>
    <row r="231" spans="1:31">
      <c r="A231" s="341"/>
      <c r="B231" s="341"/>
      <c r="C231" s="341"/>
      <c r="D231" s="341"/>
      <c r="E231" s="45"/>
      <c r="F231" s="46"/>
      <c r="G231" s="46"/>
      <c r="H231" s="46"/>
      <c r="I231" s="46"/>
      <c r="J231" s="46"/>
      <c r="K231" s="46"/>
      <c r="L231" s="46"/>
      <c r="M231" s="46"/>
      <c r="N231" s="46"/>
      <c r="O231" s="46"/>
      <c r="P231" s="46"/>
      <c r="Q231" s="46"/>
      <c r="R231" s="73"/>
      <c r="S231" s="46"/>
    </row>
    <row r="232" spans="1:31" s="15" customFormat="1" ht="15.6">
      <c r="A232" s="646" t="s">
        <v>653</v>
      </c>
      <c r="B232" s="646"/>
      <c r="C232" s="646"/>
      <c r="D232" s="646"/>
      <c r="E232" s="646"/>
      <c r="F232" s="646"/>
      <c r="G232" s="646"/>
      <c r="H232" s="646"/>
      <c r="I232" s="646"/>
      <c r="J232" s="646"/>
      <c r="K232" s="646"/>
      <c r="L232" s="14"/>
      <c r="M232" s="14"/>
      <c r="N232" s="14"/>
      <c r="O232" s="14"/>
      <c r="P232" s="14"/>
      <c r="Q232" s="133"/>
      <c r="R232" s="14"/>
      <c r="V232" s="16"/>
      <c r="W232" s="17"/>
      <c r="X232" s="17"/>
      <c r="Y232" s="16"/>
      <c r="Z232" s="16"/>
      <c r="AA232" s="16"/>
      <c r="AB232" s="16"/>
      <c r="AC232" s="17"/>
      <c r="AD232" s="16"/>
      <c r="AE232" s="16"/>
    </row>
    <row r="233" spans="1:31" s="15" customFormat="1" ht="16.5" customHeight="1">
      <c r="A233" s="596" t="s">
        <v>81</v>
      </c>
      <c r="B233" s="596"/>
      <c r="C233" s="596"/>
      <c r="D233" s="596"/>
      <c r="E233" s="596"/>
      <c r="F233" s="596"/>
      <c r="G233" s="442" t="s">
        <v>654</v>
      </c>
      <c r="H233" s="596" t="s">
        <v>655</v>
      </c>
      <c r="I233" s="596"/>
      <c r="J233" s="596" t="s">
        <v>32</v>
      </c>
      <c r="K233" s="596"/>
      <c r="L233" s="14"/>
      <c r="M233" s="14"/>
      <c r="N233" s="14"/>
      <c r="O233" s="14"/>
      <c r="P233" s="14"/>
      <c r="Q233" s="133"/>
      <c r="R233" s="14"/>
      <c r="V233" s="16"/>
      <c r="W233" s="17"/>
      <c r="X233" s="17"/>
      <c r="Y233" s="16"/>
      <c r="Z233" s="16"/>
      <c r="AA233" s="16"/>
      <c r="AB233" s="16"/>
      <c r="AC233" s="17"/>
      <c r="AD233" s="16"/>
      <c r="AE233" s="16"/>
    </row>
    <row r="234" spans="1:31" s="15" customFormat="1" ht="16.5" customHeight="1">
      <c r="A234" s="597" t="s">
        <v>656</v>
      </c>
      <c r="B234" s="597"/>
      <c r="C234" s="597"/>
      <c r="D234" s="597"/>
      <c r="E234" s="597"/>
      <c r="F234" s="597"/>
      <c r="G234" s="443">
        <v>12</v>
      </c>
      <c r="H234" s="595">
        <v>6200</v>
      </c>
      <c r="I234" s="595"/>
      <c r="J234" s="595">
        <f t="shared" ref="J234:J250" si="12">ROUND(G234*H234,2)</f>
        <v>74400</v>
      </c>
      <c r="K234" s="595"/>
      <c r="L234" s="14"/>
      <c r="M234" s="14"/>
      <c r="N234" s="14"/>
      <c r="O234" s="14"/>
      <c r="P234" s="14"/>
      <c r="Q234" s="133"/>
      <c r="R234" s="14"/>
      <c r="V234" s="16"/>
      <c r="W234" s="17"/>
      <c r="X234" s="17"/>
      <c r="Y234" s="16"/>
      <c r="Z234" s="16"/>
      <c r="AA234" s="16"/>
      <c r="AB234" s="16"/>
      <c r="AC234" s="17"/>
      <c r="AD234" s="16"/>
      <c r="AE234" s="16"/>
    </row>
    <row r="235" spans="1:31" s="15" customFormat="1" ht="13.2">
      <c r="A235" s="597" t="s">
        <v>657</v>
      </c>
      <c r="B235" s="597"/>
      <c r="C235" s="597"/>
      <c r="D235" s="597"/>
      <c r="E235" s="597"/>
      <c r="F235" s="597"/>
      <c r="G235" s="443">
        <v>12</v>
      </c>
      <c r="H235" s="595">
        <v>550</v>
      </c>
      <c r="I235" s="595"/>
      <c r="J235" s="595">
        <f t="shared" si="12"/>
        <v>6600</v>
      </c>
      <c r="K235" s="595"/>
      <c r="L235" s="14"/>
      <c r="M235" s="14"/>
      <c r="N235" s="14"/>
      <c r="O235" s="14"/>
      <c r="P235" s="14"/>
      <c r="Q235" s="133"/>
      <c r="R235" s="14"/>
      <c r="V235" s="16"/>
      <c r="W235" s="17"/>
      <c r="X235" s="17"/>
      <c r="Y235" s="16"/>
      <c r="Z235" s="16"/>
      <c r="AA235" s="16"/>
      <c r="AB235" s="16"/>
      <c r="AC235" s="17"/>
      <c r="AD235" s="16"/>
      <c r="AE235" s="16"/>
    </row>
    <row r="236" spans="1:31" s="15" customFormat="1" ht="16.5" customHeight="1">
      <c r="A236" s="597" t="s">
        <v>658</v>
      </c>
      <c r="B236" s="597"/>
      <c r="C236" s="597"/>
      <c r="D236" s="597"/>
      <c r="E236" s="597"/>
      <c r="F236" s="597"/>
      <c r="G236" s="443">
        <v>12</v>
      </c>
      <c r="H236" s="595">
        <v>750</v>
      </c>
      <c r="I236" s="595"/>
      <c r="J236" s="595">
        <f t="shared" si="12"/>
        <v>9000</v>
      </c>
      <c r="K236" s="595"/>
      <c r="L236" s="14"/>
      <c r="M236" s="14"/>
      <c r="N236" s="14"/>
      <c r="O236" s="14"/>
      <c r="P236" s="14"/>
      <c r="Q236" s="133"/>
      <c r="R236" s="14"/>
      <c r="V236" s="16"/>
      <c r="W236" s="17"/>
      <c r="X236" s="17"/>
      <c r="Y236" s="16"/>
      <c r="Z236" s="16"/>
      <c r="AA236" s="16"/>
      <c r="AB236" s="16"/>
      <c r="AC236" s="17"/>
      <c r="AD236" s="16"/>
      <c r="AE236" s="16"/>
    </row>
    <row r="237" spans="1:31" s="15" customFormat="1" ht="16.5" customHeight="1">
      <c r="A237" s="597" t="s">
        <v>659</v>
      </c>
      <c r="B237" s="597"/>
      <c r="C237" s="597"/>
      <c r="D237" s="597"/>
      <c r="E237" s="597"/>
      <c r="F237" s="597"/>
      <c r="G237" s="443">
        <v>12</v>
      </c>
      <c r="H237" s="595">
        <v>460</v>
      </c>
      <c r="I237" s="595"/>
      <c r="J237" s="595">
        <f t="shared" si="12"/>
        <v>5520</v>
      </c>
      <c r="K237" s="595"/>
      <c r="L237" s="14"/>
      <c r="M237" s="14"/>
      <c r="N237" s="14"/>
      <c r="O237" s="14"/>
      <c r="P237" s="14"/>
      <c r="Q237" s="133"/>
      <c r="R237" s="14"/>
      <c r="V237" s="16"/>
      <c r="W237" s="17"/>
      <c r="X237" s="17"/>
      <c r="Y237" s="16"/>
      <c r="Z237" s="16"/>
      <c r="AA237" s="16"/>
      <c r="AB237" s="16"/>
      <c r="AC237" s="17"/>
      <c r="AD237" s="16"/>
      <c r="AE237" s="16"/>
    </row>
    <row r="238" spans="1:31" s="15" customFormat="1" ht="16.5" customHeight="1">
      <c r="A238" s="597" t="s">
        <v>660</v>
      </c>
      <c r="B238" s="597"/>
      <c r="C238" s="597"/>
      <c r="D238" s="597"/>
      <c r="E238" s="597"/>
      <c r="F238" s="597"/>
      <c r="G238" s="443">
        <v>6</v>
      </c>
      <c r="H238" s="595">
        <v>100</v>
      </c>
      <c r="I238" s="595"/>
      <c r="J238" s="595">
        <f t="shared" si="12"/>
        <v>600</v>
      </c>
      <c r="K238" s="595"/>
      <c r="L238" s="14"/>
      <c r="M238" s="14"/>
      <c r="N238" s="14"/>
      <c r="O238" s="14"/>
      <c r="P238" s="14"/>
      <c r="Q238" s="133"/>
      <c r="R238" s="14"/>
      <c r="V238" s="16"/>
      <c r="W238" s="17"/>
      <c r="X238" s="17"/>
      <c r="Y238" s="16"/>
      <c r="Z238" s="16"/>
      <c r="AA238" s="16"/>
      <c r="AB238" s="16"/>
      <c r="AC238" s="17"/>
      <c r="AD238" s="16"/>
      <c r="AE238" s="16"/>
    </row>
    <row r="239" spans="1:31" s="15" customFormat="1" ht="16.5" customHeight="1">
      <c r="A239" s="597" t="s">
        <v>661</v>
      </c>
      <c r="B239" s="597"/>
      <c r="C239" s="597"/>
      <c r="D239" s="597"/>
      <c r="E239" s="597"/>
      <c r="F239" s="597"/>
      <c r="G239" s="443">
        <v>12</v>
      </c>
      <c r="H239" s="595">
        <v>280</v>
      </c>
      <c r="I239" s="595"/>
      <c r="J239" s="595">
        <f t="shared" si="12"/>
        <v>3360</v>
      </c>
      <c r="K239" s="595"/>
      <c r="L239" s="14"/>
      <c r="M239" s="14"/>
      <c r="N239" s="14"/>
      <c r="O239" s="14"/>
      <c r="P239" s="14"/>
      <c r="Q239" s="133"/>
      <c r="R239" s="14"/>
      <c r="V239" s="16"/>
      <c r="W239" s="17"/>
      <c r="X239" s="17"/>
      <c r="Y239" s="16"/>
      <c r="Z239" s="16"/>
      <c r="AA239" s="16"/>
      <c r="AB239" s="16"/>
      <c r="AC239" s="17"/>
      <c r="AD239" s="16"/>
      <c r="AE239" s="16"/>
    </row>
    <row r="240" spans="1:31" s="15" customFormat="1" ht="16.5" customHeight="1">
      <c r="A240" s="597" t="s">
        <v>662</v>
      </c>
      <c r="B240" s="597"/>
      <c r="C240" s="597"/>
      <c r="D240" s="597"/>
      <c r="E240" s="597"/>
      <c r="F240" s="597"/>
      <c r="G240" s="443">
        <v>12</v>
      </c>
      <c r="H240" s="595">
        <v>120</v>
      </c>
      <c r="I240" s="595"/>
      <c r="J240" s="595">
        <f t="shared" si="12"/>
        <v>1440</v>
      </c>
      <c r="K240" s="595"/>
      <c r="L240" s="14"/>
      <c r="M240" s="14"/>
      <c r="N240" s="14"/>
      <c r="O240" s="14"/>
      <c r="P240" s="14"/>
      <c r="Q240" s="133"/>
      <c r="R240" s="14"/>
      <c r="V240" s="16"/>
      <c r="W240" s="17"/>
      <c r="X240" s="17"/>
      <c r="Y240" s="16"/>
      <c r="Z240" s="16"/>
      <c r="AA240" s="16"/>
      <c r="AB240" s="16"/>
      <c r="AC240" s="17"/>
      <c r="AD240" s="16"/>
      <c r="AE240" s="16"/>
    </row>
    <row r="241" spans="1:31" s="15" customFormat="1" ht="16.5" customHeight="1">
      <c r="A241" s="597" t="s">
        <v>663</v>
      </c>
      <c r="B241" s="597"/>
      <c r="C241" s="597"/>
      <c r="D241" s="597"/>
      <c r="E241" s="597"/>
      <c r="F241" s="597"/>
      <c r="G241" s="443">
        <v>12</v>
      </c>
      <c r="H241" s="595">
        <v>320</v>
      </c>
      <c r="I241" s="595"/>
      <c r="J241" s="595">
        <f t="shared" si="12"/>
        <v>3840</v>
      </c>
      <c r="K241" s="595"/>
      <c r="L241" s="14"/>
      <c r="M241" s="14"/>
      <c r="N241" s="14"/>
      <c r="O241" s="14"/>
      <c r="P241" s="14"/>
      <c r="Q241" s="133"/>
      <c r="R241" s="14"/>
      <c r="V241" s="16"/>
      <c r="W241" s="17"/>
      <c r="X241" s="17"/>
      <c r="Y241" s="16"/>
      <c r="Z241" s="16"/>
      <c r="AA241" s="16"/>
      <c r="AB241" s="16"/>
      <c r="AC241" s="17"/>
      <c r="AD241" s="16"/>
      <c r="AE241" s="16"/>
    </row>
    <row r="242" spans="1:31" s="15" customFormat="1" ht="13.2">
      <c r="A242" s="597" t="s">
        <v>664</v>
      </c>
      <c r="B242" s="597"/>
      <c r="C242" s="597"/>
      <c r="D242" s="597"/>
      <c r="E242" s="597"/>
      <c r="F242" s="597"/>
      <c r="G242" s="443">
        <v>12</v>
      </c>
      <c r="H242" s="595">
        <v>150</v>
      </c>
      <c r="I242" s="595"/>
      <c r="J242" s="595">
        <f t="shared" si="12"/>
        <v>1800</v>
      </c>
      <c r="K242" s="595"/>
      <c r="L242" s="14"/>
      <c r="M242" s="14"/>
      <c r="N242" s="14"/>
      <c r="O242" s="14"/>
      <c r="P242" s="14"/>
      <c r="Q242" s="133"/>
      <c r="R242" s="14"/>
      <c r="V242" s="16"/>
      <c r="W242" s="17"/>
      <c r="X242" s="17"/>
      <c r="Y242" s="16"/>
      <c r="Z242" s="16"/>
      <c r="AA242" s="16"/>
      <c r="AB242" s="16"/>
      <c r="AC242" s="17"/>
      <c r="AD242" s="16"/>
      <c r="AE242" s="16"/>
    </row>
    <row r="243" spans="1:31" s="15" customFormat="1" ht="13.2">
      <c r="A243" s="597" t="s">
        <v>665</v>
      </c>
      <c r="B243" s="597"/>
      <c r="C243" s="597"/>
      <c r="D243" s="597"/>
      <c r="E243" s="597"/>
      <c r="F243" s="597"/>
      <c r="G243" s="443">
        <v>1</v>
      </c>
      <c r="H243" s="595">
        <v>1050</v>
      </c>
      <c r="I243" s="595"/>
      <c r="J243" s="595">
        <f t="shared" si="12"/>
        <v>1050</v>
      </c>
      <c r="K243" s="595"/>
      <c r="L243" s="14"/>
      <c r="M243" s="14"/>
      <c r="N243" s="14"/>
      <c r="O243" s="14"/>
      <c r="P243" s="14"/>
      <c r="Q243" s="133"/>
      <c r="R243" s="14"/>
      <c r="V243" s="16"/>
      <c r="W243" s="17"/>
      <c r="X243" s="17"/>
      <c r="Y243" s="16"/>
      <c r="Z243" s="16"/>
      <c r="AA243" s="16"/>
      <c r="AB243" s="16"/>
      <c r="AC243" s="17"/>
      <c r="AD243" s="16"/>
      <c r="AE243" s="16"/>
    </row>
    <row r="244" spans="1:31" s="15" customFormat="1" ht="13.2">
      <c r="A244" s="597" t="s">
        <v>666</v>
      </c>
      <c r="B244" s="597"/>
      <c r="C244" s="597"/>
      <c r="D244" s="597"/>
      <c r="E244" s="597"/>
      <c r="F244" s="597"/>
      <c r="G244" s="443">
        <v>1</v>
      </c>
      <c r="H244" s="595">
        <v>220</v>
      </c>
      <c r="I244" s="595"/>
      <c r="J244" s="595">
        <f t="shared" si="12"/>
        <v>220</v>
      </c>
      <c r="K244" s="595"/>
      <c r="L244" s="14"/>
      <c r="M244" s="14"/>
      <c r="N244" s="14"/>
      <c r="O244" s="14"/>
      <c r="P244" s="14"/>
      <c r="Q244" s="133"/>
      <c r="R244" s="14"/>
      <c r="V244" s="16"/>
      <c r="W244" s="17"/>
      <c r="X244" s="17"/>
      <c r="Y244" s="16"/>
      <c r="Z244" s="16"/>
      <c r="AA244" s="16"/>
      <c r="AB244" s="16"/>
      <c r="AC244" s="17"/>
      <c r="AD244" s="16"/>
      <c r="AE244" s="16"/>
    </row>
    <row r="245" spans="1:31" s="15" customFormat="1" ht="13.2">
      <c r="A245" s="597" t="s">
        <v>667</v>
      </c>
      <c r="B245" s="597"/>
      <c r="C245" s="597"/>
      <c r="D245" s="597"/>
      <c r="E245" s="597"/>
      <c r="F245" s="597"/>
      <c r="G245" s="443">
        <v>6</v>
      </c>
      <c r="H245" s="595">
        <v>2680</v>
      </c>
      <c r="I245" s="631"/>
      <c r="J245" s="595">
        <f t="shared" si="12"/>
        <v>16080</v>
      </c>
      <c r="K245" s="595"/>
      <c r="L245" s="14"/>
      <c r="M245" s="14"/>
      <c r="N245" s="14"/>
      <c r="O245" s="14"/>
      <c r="P245" s="14"/>
      <c r="Q245" s="133"/>
      <c r="R245" s="14"/>
      <c r="V245" s="16"/>
      <c r="W245" s="17"/>
      <c r="X245" s="17"/>
      <c r="Y245" s="16"/>
      <c r="Z245" s="16"/>
      <c r="AA245" s="16"/>
      <c r="AB245" s="16"/>
      <c r="AC245" s="17"/>
      <c r="AD245" s="16"/>
      <c r="AE245" s="16"/>
    </row>
    <row r="246" spans="1:31" s="15" customFormat="1" ht="13.2">
      <c r="A246" s="597" t="s">
        <v>668</v>
      </c>
      <c r="B246" s="597"/>
      <c r="C246" s="597"/>
      <c r="D246" s="597"/>
      <c r="E246" s="597"/>
      <c r="F246" s="597"/>
      <c r="G246" s="443">
        <v>12</v>
      </c>
      <c r="H246" s="595">
        <v>85</v>
      </c>
      <c r="I246" s="595"/>
      <c r="J246" s="595">
        <f t="shared" si="12"/>
        <v>1020</v>
      </c>
      <c r="K246" s="595"/>
      <c r="L246" s="14"/>
      <c r="M246" s="14"/>
      <c r="N246" s="14"/>
      <c r="O246" s="14"/>
      <c r="P246" s="14"/>
      <c r="Q246" s="133"/>
      <c r="R246" s="14"/>
      <c r="V246" s="16"/>
      <c r="W246" s="17"/>
      <c r="X246" s="17"/>
      <c r="Y246" s="16"/>
      <c r="Z246" s="16"/>
      <c r="AA246" s="16"/>
      <c r="AB246" s="16"/>
      <c r="AC246" s="17"/>
      <c r="AD246" s="16"/>
      <c r="AE246" s="16"/>
    </row>
    <row r="247" spans="1:31" s="15" customFormat="1" ht="13.2">
      <c r="A247" s="597" t="s">
        <v>669</v>
      </c>
      <c r="B247" s="597"/>
      <c r="C247" s="597"/>
      <c r="D247" s="597"/>
      <c r="E247" s="597"/>
      <c r="F247" s="597"/>
      <c r="G247" s="443">
        <v>6</v>
      </c>
      <c r="H247" s="595">
        <v>530</v>
      </c>
      <c r="I247" s="595"/>
      <c r="J247" s="595">
        <f t="shared" si="12"/>
        <v>3180</v>
      </c>
      <c r="K247" s="595"/>
      <c r="L247" s="14"/>
      <c r="M247" s="14"/>
      <c r="N247" s="14"/>
      <c r="O247" s="14"/>
      <c r="P247" s="14"/>
      <c r="Q247" s="133"/>
      <c r="R247" s="14"/>
      <c r="V247" s="16"/>
      <c r="W247" s="17"/>
      <c r="X247" s="17"/>
      <c r="Y247" s="16"/>
      <c r="Z247" s="16"/>
      <c r="AA247" s="16"/>
      <c r="AB247" s="16"/>
      <c r="AC247" s="17"/>
      <c r="AD247" s="16"/>
      <c r="AE247" s="16"/>
    </row>
    <row r="248" spans="1:31" s="15" customFormat="1" ht="13.2">
      <c r="A248" s="597" t="s">
        <v>670</v>
      </c>
      <c r="B248" s="597"/>
      <c r="C248" s="597"/>
      <c r="D248" s="597"/>
      <c r="E248" s="597"/>
      <c r="F248" s="597"/>
      <c r="G248" s="443">
        <v>3</v>
      </c>
      <c r="H248" s="595">
        <v>620</v>
      </c>
      <c r="I248" s="595">
        <v>570</v>
      </c>
      <c r="J248" s="595">
        <f t="shared" si="12"/>
        <v>1860</v>
      </c>
      <c r="K248" s="595"/>
      <c r="L248" s="14"/>
      <c r="M248" s="14"/>
      <c r="N248" s="14"/>
      <c r="O248" s="14"/>
      <c r="P248" s="14"/>
      <c r="Q248" s="133"/>
      <c r="R248" s="14"/>
      <c r="V248" s="16"/>
      <c r="W248" s="17"/>
      <c r="X248" s="17"/>
      <c r="Y248" s="16"/>
      <c r="Z248" s="16"/>
      <c r="AA248" s="16"/>
      <c r="AB248" s="16"/>
      <c r="AC248" s="17"/>
      <c r="AD248" s="16"/>
      <c r="AE248" s="16"/>
    </row>
    <row r="249" spans="1:31" s="15" customFormat="1" ht="13.2">
      <c r="A249" s="597" t="s">
        <v>671</v>
      </c>
      <c r="B249" s="597"/>
      <c r="C249" s="597"/>
      <c r="D249" s="597"/>
      <c r="E249" s="597"/>
      <c r="F249" s="597"/>
      <c r="G249" s="443">
        <v>5</v>
      </c>
      <c r="H249" s="595">
        <v>590</v>
      </c>
      <c r="I249" s="595">
        <v>590</v>
      </c>
      <c r="J249" s="595">
        <f t="shared" si="12"/>
        <v>2950</v>
      </c>
      <c r="K249" s="595"/>
      <c r="L249" s="444"/>
      <c r="M249" s="444"/>
      <c r="N249" s="14"/>
      <c r="O249" s="14"/>
      <c r="P249" s="14"/>
      <c r="Q249" s="133"/>
      <c r="R249" s="14"/>
      <c r="V249" s="16"/>
      <c r="W249" s="17"/>
      <c r="X249" s="17"/>
      <c r="Y249" s="16"/>
      <c r="Z249" s="16"/>
      <c r="AA249" s="16"/>
      <c r="AB249" s="16"/>
      <c r="AC249" s="17"/>
      <c r="AD249" s="16"/>
      <c r="AE249" s="16"/>
    </row>
    <row r="250" spans="1:31" s="15" customFormat="1" ht="13.2">
      <c r="A250" s="597" t="s">
        <v>672</v>
      </c>
      <c r="B250" s="597"/>
      <c r="C250" s="597"/>
      <c r="D250" s="597"/>
      <c r="E250" s="597"/>
      <c r="F250" s="597"/>
      <c r="G250" s="443">
        <v>1</v>
      </c>
      <c r="H250" s="595">
        <v>12000</v>
      </c>
      <c r="I250" s="595"/>
      <c r="J250" s="595">
        <f t="shared" si="12"/>
        <v>12000</v>
      </c>
      <c r="K250" s="595"/>
      <c r="L250" s="444"/>
      <c r="M250" s="444"/>
      <c r="N250" s="14"/>
      <c r="O250" s="14"/>
      <c r="P250" s="14"/>
      <c r="Q250" s="133"/>
      <c r="R250" s="14"/>
      <c r="V250" s="16"/>
      <c r="W250" s="17"/>
      <c r="X250" s="17"/>
      <c r="Y250" s="16"/>
      <c r="Z250" s="16"/>
      <c r="AA250" s="16"/>
      <c r="AB250" s="16"/>
      <c r="AC250" s="17"/>
      <c r="AD250" s="16"/>
      <c r="AE250" s="16"/>
    </row>
    <row r="251" spans="1:31" s="15" customFormat="1" ht="13.2">
      <c r="A251" s="596" t="s">
        <v>19</v>
      </c>
      <c r="B251" s="596"/>
      <c r="C251" s="596"/>
      <c r="D251" s="596"/>
      <c r="E251" s="596"/>
      <c r="F251" s="596"/>
      <c r="G251" s="596"/>
      <c r="H251" s="596"/>
      <c r="I251" s="596"/>
      <c r="J251" s="619">
        <f>SUM(J234:K250)</f>
        <v>144920</v>
      </c>
      <c r="K251" s="619"/>
      <c r="L251" s="444"/>
      <c r="M251" s="444"/>
      <c r="N251" s="14"/>
      <c r="O251" s="14"/>
      <c r="P251" s="14"/>
      <c r="Q251" s="133"/>
      <c r="R251" s="14"/>
      <c r="V251" s="16"/>
      <c r="W251" s="17"/>
      <c r="X251" s="17"/>
      <c r="Y251" s="16"/>
      <c r="Z251" s="16"/>
      <c r="AA251" s="16"/>
      <c r="AB251" s="16"/>
      <c r="AC251" s="17"/>
      <c r="AD251" s="16"/>
      <c r="AE251" s="16"/>
    </row>
    <row r="252" spans="1:31" s="15" customFormat="1" ht="18">
      <c r="A252" s="637" t="s">
        <v>673</v>
      </c>
      <c r="B252" s="637"/>
      <c r="C252" s="637"/>
      <c r="D252" s="637"/>
      <c r="E252" s="637"/>
      <c r="F252" s="637"/>
      <c r="G252" s="637"/>
      <c r="H252" s="637"/>
      <c r="I252" s="637"/>
      <c r="J252" s="635">
        <f>J251/12</f>
        <v>12076.666666666666</v>
      </c>
      <c r="K252" s="636"/>
      <c r="L252" s="444"/>
      <c r="M252" s="444"/>
      <c r="N252" s="14"/>
      <c r="O252" s="14"/>
      <c r="P252" s="14"/>
      <c r="Q252" s="133"/>
      <c r="R252" s="14"/>
      <c r="V252" s="16"/>
      <c r="W252" s="17"/>
      <c r="X252" s="17"/>
      <c r="Y252" s="16"/>
      <c r="Z252" s="16"/>
      <c r="AA252" s="16"/>
      <c r="AB252" s="16"/>
      <c r="AC252" s="17"/>
      <c r="AD252" s="16"/>
      <c r="AE252" s="16"/>
    </row>
    <row r="253" spans="1:31" s="15" customFormat="1" ht="13.2">
      <c r="A253" s="14"/>
      <c r="B253" s="14"/>
      <c r="C253" s="132"/>
      <c r="D253" s="14"/>
      <c r="E253" s="132"/>
      <c r="F253" s="14"/>
      <c r="G253" s="14"/>
      <c r="H253" s="14"/>
      <c r="I253" s="14"/>
      <c r="J253" s="14"/>
      <c r="K253" s="14"/>
      <c r="L253" s="444"/>
      <c r="M253" s="444"/>
      <c r="N253" s="14"/>
      <c r="O253" s="14"/>
      <c r="P253" s="14"/>
      <c r="Q253" s="133"/>
      <c r="R253" s="14"/>
      <c r="V253" s="16"/>
      <c r="W253" s="17"/>
      <c r="X253" s="17"/>
      <c r="Y253" s="16"/>
      <c r="Z253" s="16"/>
      <c r="AA253" s="16"/>
      <c r="AB253" s="16"/>
      <c r="AC253" s="17"/>
      <c r="AD253" s="16"/>
      <c r="AE253" s="16"/>
    </row>
    <row r="254" spans="1:31" s="15" customFormat="1">
      <c r="A254" s="639" t="s">
        <v>674</v>
      </c>
      <c r="B254" s="639"/>
      <c r="C254" s="639"/>
      <c r="D254" s="639"/>
      <c r="E254" s="639"/>
      <c r="F254" s="639"/>
      <c r="G254" s="639"/>
      <c r="H254" s="639"/>
      <c r="I254" s="639"/>
      <c r="J254" s="639"/>
      <c r="K254" s="639"/>
      <c r="L254" s="14"/>
      <c r="M254" s="14"/>
      <c r="N254" s="14"/>
      <c r="O254" s="14"/>
      <c r="P254" s="14"/>
      <c r="Q254" s="133"/>
      <c r="R254" s="14"/>
      <c r="V254" s="16"/>
      <c r="W254" s="17"/>
      <c r="X254" s="17"/>
      <c r="Y254" s="16"/>
      <c r="Z254" s="16"/>
      <c r="AA254" s="16"/>
      <c r="AB254" s="16"/>
      <c r="AC254" s="17"/>
      <c r="AD254" s="16"/>
      <c r="AE254" s="16"/>
    </row>
    <row r="255" spans="1:31" s="15" customFormat="1" ht="26.4">
      <c r="A255" s="644" t="s">
        <v>81</v>
      </c>
      <c r="B255" s="644"/>
      <c r="C255" s="644"/>
      <c r="D255" s="644"/>
      <c r="E255" s="644"/>
      <c r="F255" s="618" t="s">
        <v>675</v>
      </c>
      <c r="G255" s="618"/>
      <c r="H255" s="644" t="s">
        <v>676</v>
      </c>
      <c r="I255" s="644"/>
      <c r="J255" s="445" t="s">
        <v>677</v>
      </c>
      <c r="K255" s="446" t="s">
        <v>299</v>
      </c>
      <c r="L255" s="14"/>
      <c r="M255" s="14"/>
      <c r="N255" s="14"/>
      <c r="O255" s="14"/>
      <c r="P255" s="14"/>
      <c r="Q255" s="133"/>
      <c r="R255" s="14"/>
      <c r="V255" s="16"/>
      <c r="W255" s="17"/>
      <c r="X255" s="17"/>
      <c r="Y255" s="16"/>
      <c r="Z255" s="16"/>
      <c r="AA255" s="16"/>
      <c r="AB255" s="16"/>
      <c r="AC255" s="17"/>
      <c r="AD255" s="16"/>
      <c r="AE255" s="16"/>
    </row>
    <row r="256" spans="1:31" s="15" customFormat="1" ht="13.2">
      <c r="A256" s="645" t="s">
        <v>678</v>
      </c>
      <c r="B256" s="645"/>
      <c r="C256" s="645"/>
      <c r="D256" s="645"/>
      <c r="E256" s="645"/>
      <c r="F256" s="643">
        <f>'MÃO DE OBRA'!C42</f>
        <v>109</v>
      </c>
      <c r="G256" s="643"/>
      <c r="H256" s="595">
        <v>1.5</v>
      </c>
      <c r="I256" s="595"/>
      <c r="J256" s="443">
        <v>26</v>
      </c>
      <c r="K256" s="447">
        <f>F256*H256*J256</f>
        <v>4251</v>
      </c>
      <c r="L256" s="14"/>
      <c r="M256" s="14"/>
      <c r="N256" s="14"/>
      <c r="O256" s="14"/>
      <c r="P256" s="14"/>
      <c r="Q256" s="133"/>
      <c r="R256" s="14"/>
      <c r="V256" s="16"/>
      <c r="W256" s="17"/>
      <c r="X256" s="17"/>
      <c r="Y256" s="16"/>
      <c r="Z256" s="16"/>
      <c r="AA256" s="16"/>
      <c r="AB256" s="16"/>
      <c r="AC256" s="17"/>
      <c r="AD256" s="16"/>
      <c r="AE256" s="16"/>
    </row>
    <row r="257" spans="1:31" s="15" customFormat="1" ht="18">
      <c r="A257" s="647" t="s">
        <v>679</v>
      </c>
      <c r="B257" s="647"/>
      <c r="C257" s="647"/>
      <c r="D257" s="647"/>
      <c r="E257" s="647"/>
      <c r="F257" s="647">
        <f>J256</f>
        <v>26</v>
      </c>
      <c r="G257" s="647"/>
      <c r="H257" s="638">
        <f>K256</f>
        <v>4251</v>
      </c>
      <c r="I257" s="638"/>
      <c r="J257" s="638"/>
      <c r="K257" s="638"/>
      <c r="L257" s="14"/>
      <c r="M257" s="14"/>
      <c r="N257" s="14"/>
      <c r="O257" s="14"/>
      <c r="P257" s="14"/>
      <c r="Q257" s="133"/>
      <c r="R257" s="14"/>
      <c r="V257" s="16"/>
      <c r="W257" s="17"/>
      <c r="X257" s="17"/>
      <c r="Y257" s="16"/>
      <c r="Z257" s="16"/>
      <c r="AA257" s="16"/>
      <c r="AB257" s="16"/>
      <c r="AC257" s="17"/>
      <c r="AD257" s="16"/>
      <c r="AE257" s="16"/>
    </row>
    <row r="258" spans="1:31" s="15" customFormat="1" ht="13.8" thickBot="1">
      <c r="A258" s="14"/>
      <c r="B258" s="14"/>
      <c r="C258" s="132"/>
      <c r="D258" s="14"/>
      <c r="E258" s="132"/>
      <c r="F258" s="14"/>
      <c r="G258" s="14"/>
      <c r="H258" s="14"/>
      <c r="I258" s="14"/>
      <c r="J258" s="14"/>
      <c r="K258" s="14"/>
      <c r="L258" s="14"/>
      <c r="M258" s="14"/>
      <c r="N258" s="14"/>
      <c r="O258" s="14"/>
      <c r="P258" s="14"/>
      <c r="Q258" s="133"/>
      <c r="R258" s="14"/>
      <c r="V258" s="16"/>
      <c r="W258" s="17"/>
      <c r="X258" s="17"/>
      <c r="Y258" s="16"/>
      <c r="Z258" s="16"/>
      <c r="AA258" s="16"/>
      <c r="AB258" s="16"/>
      <c r="AC258" s="17"/>
      <c r="AD258" s="16"/>
      <c r="AE258" s="16"/>
    </row>
    <row r="259" spans="1:31" s="51" customFormat="1" ht="22.5" customHeight="1">
      <c r="A259" s="604" t="s">
        <v>49</v>
      </c>
      <c r="B259" s="605"/>
      <c r="C259" s="605"/>
      <c r="D259" s="605"/>
      <c r="E259" s="605"/>
      <c r="F259" s="605"/>
      <c r="G259" s="605"/>
      <c r="H259" s="605"/>
      <c r="I259" s="605"/>
      <c r="J259" s="605"/>
      <c r="K259" s="605"/>
      <c r="L259" s="605"/>
      <c r="M259" s="605"/>
      <c r="N259" s="605"/>
      <c r="O259" s="605"/>
      <c r="P259" s="606">
        <f>O24</f>
        <v>71832.510784266662</v>
      </c>
      <c r="Q259" s="606"/>
      <c r="R259" s="606"/>
      <c r="S259" s="607"/>
      <c r="T259" s="72"/>
      <c r="U259" s="72"/>
      <c r="V259" s="72"/>
      <c r="X259" s="64"/>
      <c r="Y259" s="64"/>
      <c r="AD259" s="64"/>
    </row>
    <row r="260" spans="1:31" s="51" customFormat="1" ht="22.5" customHeight="1">
      <c r="A260" s="608" t="s">
        <v>7</v>
      </c>
      <c r="B260" s="609"/>
      <c r="C260" s="609"/>
      <c r="D260" s="609"/>
      <c r="E260" s="609"/>
      <c r="F260" s="609"/>
      <c r="G260" s="609"/>
      <c r="H260" s="609"/>
      <c r="I260" s="609"/>
      <c r="J260" s="609"/>
      <c r="K260" s="609"/>
      <c r="L260" s="609"/>
      <c r="M260" s="609"/>
      <c r="N260" s="610">
        <f>BDI!D21</f>
        <v>0.29432432362637373</v>
      </c>
      <c r="O260" s="610"/>
      <c r="P260" s="611">
        <f>P259*(1+N260)</f>
        <v>92974.565935230145</v>
      </c>
      <c r="Q260" s="611"/>
      <c r="R260" s="611"/>
      <c r="S260" s="612"/>
      <c r="T260" s="72"/>
      <c r="U260" s="72"/>
      <c r="V260" s="72"/>
      <c r="X260" s="64"/>
      <c r="Y260" s="64"/>
      <c r="AD260" s="64"/>
    </row>
    <row r="261" spans="1:31" s="51" customFormat="1" ht="22.5" customHeight="1">
      <c r="A261" s="613" t="s">
        <v>50</v>
      </c>
      <c r="B261" s="614"/>
      <c r="C261" s="614"/>
      <c r="D261" s="614"/>
      <c r="E261" s="614"/>
      <c r="F261" s="614"/>
      <c r="G261" s="614"/>
      <c r="H261" s="614"/>
      <c r="I261" s="614"/>
      <c r="J261" s="614"/>
      <c r="K261" s="614"/>
      <c r="L261" s="614"/>
      <c r="M261" s="614"/>
      <c r="N261" s="614"/>
      <c r="O261" s="615"/>
      <c r="P261" s="616">
        <v>1</v>
      </c>
      <c r="Q261" s="616"/>
      <c r="R261" s="616"/>
      <c r="S261" s="617"/>
      <c r="T261" s="72"/>
      <c r="U261" s="72"/>
      <c r="V261" s="72"/>
      <c r="X261" s="64"/>
      <c r="Y261" s="64"/>
      <c r="AD261" s="64"/>
    </row>
    <row r="262" spans="1:31" s="51" customFormat="1" ht="22.5" customHeight="1" thickBot="1">
      <c r="A262" s="600" t="s">
        <v>51</v>
      </c>
      <c r="B262" s="601"/>
      <c r="C262" s="601"/>
      <c r="D262" s="601"/>
      <c r="E262" s="601"/>
      <c r="F262" s="601"/>
      <c r="G262" s="601"/>
      <c r="H262" s="601"/>
      <c r="I262" s="601"/>
      <c r="J262" s="601"/>
      <c r="K262" s="601"/>
      <c r="L262" s="601"/>
      <c r="M262" s="601"/>
      <c r="N262" s="601"/>
      <c r="O262" s="601"/>
      <c r="P262" s="602">
        <f>P260/P261</f>
        <v>92974.565935230145</v>
      </c>
      <c r="Q262" s="602"/>
      <c r="R262" s="602"/>
      <c r="S262" s="603"/>
      <c r="T262" s="72"/>
      <c r="U262" s="72"/>
      <c r="V262" s="72"/>
      <c r="X262" s="64"/>
      <c r="Y262" s="64"/>
      <c r="AD262" s="64"/>
    </row>
    <row r="263" spans="1:31">
      <c r="A263" s="46"/>
      <c r="B263" s="44"/>
      <c r="C263" s="45"/>
      <c r="D263" s="46"/>
      <c r="E263" s="45"/>
      <c r="F263" s="46"/>
      <c r="G263" s="46"/>
      <c r="H263" s="46"/>
      <c r="I263" s="46"/>
      <c r="J263" s="46"/>
      <c r="K263" s="46"/>
      <c r="L263" s="46"/>
      <c r="M263" s="46"/>
      <c r="N263" s="46"/>
      <c r="O263" s="46"/>
      <c r="P263" s="46"/>
      <c r="Q263" s="46"/>
      <c r="R263" s="73"/>
      <c r="S263" s="46"/>
    </row>
  </sheetData>
  <mergeCells count="1019">
    <mergeCell ref="H257:K257"/>
    <mergeCell ref="A254:K254"/>
    <mergeCell ref="A246:F246"/>
    <mergeCell ref="A247:F247"/>
    <mergeCell ref="A248:F248"/>
    <mergeCell ref="A249:F249"/>
    <mergeCell ref="J247:K247"/>
    <mergeCell ref="J242:K242"/>
    <mergeCell ref="A2:S2"/>
    <mergeCell ref="F256:G256"/>
    <mergeCell ref="A255:E255"/>
    <mergeCell ref="A256:E256"/>
    <mergeCell ref="H243:I243"/>
    <mergeCell ref="A245:F245"/>
    <mergeCell ref="A250:F250"/>
    <mergeCell ref="A232:K232"/>
    <mergeCell ref="A239:F239"/>
    <mergeCell ref="A240:F240"/>
    <mergeCell ref="A241:F241"/>
    <mergeCell ref="A242:F242"/>
    <mergeCell ref="A243:F243"/>
    <mergeCell ref="A244:F244"/>
    <mergeCell ref="A233:F233"/>
    <mergeCell ref="A234:F234"/>
    <mergeCell ref="A235:F235"/>
    <mergeCell ref="A236:F236"/>
    <mergeCell ref="A237:F237"/>
    <mergeCell ref="H242:I242"/>
    <mergeCell ref="A257:G257"/>
    <mergeCell ref="J249:K249"/>
    <mergeCell ref="H250:I250"/>
    <mergeCell ref="H255:I255"/>
    <mergeCell ref="H256:I256"/>
    <mergeCell ref="H245:I245"/>
    <mergeCell ref="J245:K245"/>
    <mergeCell ref="H246:I246"/>
    <mergeCell ref="J246:K246"/>
    <mergeCell ref="H247:I247"/>
    <mergeCell ref="J243:K243"/>
    <mergeCell ref="H244:I244"/>
    <mergeCell ref="J244:K244"/>
    <mergeCell ref="H238:I238"/>
    <mergeCell ref="J238:K238"/>
    <mergeCell ref="H239:I239"/>
    <mergeCell ref="J239:K239"/>
    <mergeCell ref="H240:I240"/>
    <mergeCell ref="J240:K240"/>
    <mergeCell ref="H241:I241"/>
    <mergeCell ref="A169:O169"/>
    <mergeCell ref="A222:F222"/>
    <mergeCell ref="A223:I223"/>
    <mergeCell ref="A219:K219"/>
    <mergeCell ref="H220:I220"/>
    <mergeCell ref="J220:K220"/>
    <mergeCell ref="J252:K252"/>
    <mergeCell ref="J250:K250"/>
    <mergeCell ref="H248:I248"/>
    <mergeCell ref="J248:K248"/>
    <mergeCell ref="H249:I249"/>
    <mergeCell ref="A251:I251"/>
    <mergeCell ref="A252:I252"/>
    <mergeCell ref="J241:K241"/>
    <mergeCell ref="H236:I236"/>
    <mergeCell ref="J236:K236"/>
    <mergeCell ref="P169:Q169"/>
    <mergeCell ref="R169:S169"/>
    <mergeCell ref="A176:I176"/>
    <mergeCell ref="J176:K176"/>
    <mergeCell ref="L176:M176"/>
    <mergeCell ref="N176:O176"/>
    <mergeCell ref="P176:Q176"/>
    <mergeCell ref="R176:S176"/>
    <mergeCell ref="A174:O174"/>
    <mergeCell ref="A167:O167"/>
    <mergeCell ref="P167:Q167"/>
    <mergeCell ref="R167:S167"/>
    <mergeCell ref="A168:I168"/>
    <mergeCell ref="J168:K168"/>
    <mergeCell ref="L168:M168"/>
    <mergeCell ref="N168:O168"/>
    <mergeCell ref="P168:Q168"/>
    <mergeCell ref="R168:S168"/>
    <mergeCell ref="A166:I166"/>
    <mergeCell ref="J166:K166"/>
    <mergeCell ref="L166:M166"/>
    <mergeCell ref="N166:O166"/>
    <mergeCell ref="P166:Q166"/>
    <mergeCell ref="R166:S166"/>
    <mergeCell ref="A165:I165"/>
    <mergeCell ref="J165:K165"/>
    <mergeCell ref="L165:M165"/>
    <mergeCell ref="N165:O165"/>
    <mergeCell ref="P165:Q165"/>
    <mergeCell ref="R165:S165"/>
    <mergeCell ref="A164:I164"/>
    <mergeCell ref="J164:K164"/>
    <mergeCell ref="L164:M164"/>
    <mergeCell ref="N164:O164"/>
    <mergeCell ref="P164:Q164"/>
    <mergeCell ref="R164:S164"/>
    <mergeCell ref="A163:I163"/>
    <mergeCell ref="J163:K163"/>
    <mergeCell ref="L163:M163"/>
    <mergeCell ref="N163:O163"/>
    <mergeCell ref="P163:Q163"/>
    <mergeCell ref="R163:S163"/>
    <mergeCell ref="A162:I162"/>
    <mergeCell ref="J162:K162"/>
    <mergeCell ref="L162:M162"/>
    <mergeCell ref="N162:O162"/>
    <mergeCell ref="P162:Q162"/>
    <mergeCell ref="R162:S162"/>
    <mergeCell ref="A161:I161"/>
    <mergeCell ref="J161:K161"/>
    <mergeCell ref="L161:M161"/>
    <mergeCell ref="N161:O161"/>
    <mergeCell ref="P161:Q161"/>
    <mergeCell ref="R161:S161"/>
    <mergeCell ref="A160:I160"/>
    <mergeCell ref="J160:K160"/>
    <mergeCell ref="L160:M160"/>
    <mergeCell ref="N160:O160"/>
    <mergeCell ref="P160:Q160"/>
    <mergeCell ref="R160:S160"/>
    <mergeCell ref="A159:I159"/>
    <mergeCell ref="J159:K159"/>
    <mergeCell ref="L159:M159"/>
    <mergeCell ref="N159:O159"/>
    <mergeCell ref="P159:Q159"/>
    <mergeCell ref="R159:S159"/>
    <mergeCell ref="A157:O157"/>
    <mergeCell ref="P157:Q157"/>
    <mergeCell ref="R157:S157"/>
    <mergeCell ref="A158:I158"/>
    <mergeCell ref="J158:K158"/>
    <mergeCell ref="L158:M158"/>
    <mergeCell ref="N158:O158"/>
    <mergeCell ref="P158:Q158"/>
    <mergeCell ref="R158:S158"/>
    <mergeCell ref="A156:I156"/>
    <mergeCell ref="J156:K156"/>
    <mergeCell ref="L156:M156"/>
    <mergeCell ref="N156:O156"/>
    <mergeCell ref="P156:Q156"/>
    <mergeCell ref="R156:S156"/>
    <mergeCell ref="A155:I155"/>
    <mergeCell ref="J155:K155"/>
    <mergeCell ref="L155:M155"/>
    <mergeCell ref="N155:O155"/>
    <mergeCell ref="P155:Q155"/>
    <mergeCell ref="R155:S155"/>
    <mergeCell ref="A152:O152"/>
    <mergeCell ref="P152:Q152"/>
    <mergeCell ref="R152:S152"/>
    <mergeCell ref="A154:I154"/>
    <mergeCell ref="J154:K154"/>
    <mergeCell ref="L154:M154"/>
    <mergeCell ref="N154:O154"/>
    <mergeCell ref="P154:Q154"/>
    <mergeCell ref="R154:S154"/>
    <mergeCell ref="A150:O150"/>
    <mergeCell ref="P150:Q150"/>
    <mergeCell ref="R150:S150"/>
    <mergeCell ref="A151:I151"/>
    <mergeCell ref="J151:K151"/>
    <mergeCell ref="L151:M151"/>
    <mergeCell ref="N151:O151"/>
    <mergeCell ref="P151:Q151"/>
    <mergeCell ref="R151:S151"/>
    <mergeCell ref="A149:I149"/>
    <mergeCell ref="J149:K149"/>
    <mergeCell ref="L149:M149"/>
    <mergeCell ref="N149:O149"/>
    <mergeCell ref="P149:Q149"/>
    <mergeCell ref="R149:S149"/>
    <mergeCell ref="A148:I148"/>
    <mergeCell ref="J148:K148"/>
    <mergeCell ref="L148:M148"/>
    <mergeCell ref="N148:O148"/>
    <mergeCell ref="P148:Q148"/>
    <mergeCell ref="R148:S148"/>
    <mergeCell ref="A147:I147"/>
    <mergeCell ref="J147:K147"/>
    <mergeCell ref="L147:M147"/>
    <mergeCell ref="N147:O147"/>
    <mergeCell ref="P147:Q147"/>
    <mergeCell ref="R147:S147"/>
    <mergeCell ref="A146:I146"/>
    <mergeCell ref="J146:K146"/>
    <mergeCell ref="L146:M146"/>
    <mergeCell ref="N146:O146"/>
    <mergeCell ref="P146:Q146"/>
    <mergeCell ref="R146:S146"/>
    <mergeCell ref="A145:I145"/>
    <mergeCell ref="J145:K145"/>
    <mergeCell ref="L145:M145"/>
    <mergeCell ref="N145:O145"/>
    <mergeCell ref="P145:Q145"/>
    <mergeCell ref="R145:S145"/>
    <mergeCell ref="A144:I144"/>
    <mergeCell ref="J144:K144"/>
    <mergeCell ref="L144:M144"/>
    <mergeCell ref="N144:O144"/>
    <mergeCell ref="P144:Q144"/>
    <mergeCell ref="R144:S144"/>
    <mergeCell ref="A143:I143"/>
    <mergeCell ref="J143:K143"/>
    <mergeCell ref="L143:M143"/>
    <mergeCell ref="N143:O143"/>
    <mergeCell ref="P143:Q143"/>
    <mergeCell ref="R143:S143"/>
    <mergeCell ref="A142:I142"/>
    <mergeCell ref="J142:K142"/>
    <mergeCell ref="L142:M142"/>
    <mergeCell ref="N142:O142"/>
    <mergeCell ref="P142:Q142"/>
    <mergeCell ref="R142:S142"/>
    <mergeCell ref="A140:O140"/>
    <mergeCell ref="P140:Q140"/>
    <mergeCell ref="R140:S140"/>
    <mergeCell ref="A141:I141"/>
    <mergeCell ref="J141:K141"/>
    <mergeCell ref="L141:M141"/>
    <mergeCell ref="N141:O141"/>
    <mergeCell ref="P141:Q141"/>
    <mergeCell ref="R141:S141"/>
    <mergeCell ref="A139:I139"/>
    <mergeCell ref="J139:K139"/>
    <mergeCell ref="L139:M139"/>
    <mergeCell ref="N139:O139"/>
    <mergeCell ref="P139:Q139"/>
    <mergeCell ref="R139:S139"/>
    <mergeCell ref="A138:I138"/>
    <mergeCell ref="J138:K138"/>
    <mergeCell ref="L138:M138"/>
    <mergeCell ref="N138:O138"/>
    <mergeCell ref="P138:Q138"/>
    <mergeCell ref="R138:S138"/>
    <mergeCell ref="A137:I137"/>
    <mergeCell ref="J137:K137"/>
    <mergeCell ref="L137:M137"/>
    <mergeCell ref="N137:O137"/>
    <mergeCell ref="P137:Q137"/>
    <mergeCell ref="R137:S137"/>
    <mergeCell ref="A135:O135"/>
    <mergeCell ref="P135:Q135"/>
    <mergeCell ref="R135:S135"/>
    <mergeCell ref="A122:I122"/>
    <mergeCell ref="J122:K122"/>
    <mergeCell ref="L122:M122"/>
    <mergeCell ref="N122:O122"/>
    <mergeCell ref="P122:Q122"/>
    <mergeCell ref="R122:S122"/>
    <mergeCell ref="A133:O133"/>
    <mergeCell ref="P133:Q133"/>
    <mergeCell ref="R133:S133"/>
    <mergeCell ref="A134:I134"/>
    <mergeCell ref="J134:K134"/>
    <mergeCell ref="L134:M134"/>
    <mergeCell ref="N134:O134"/>
    <mergeCell ref="P134:Q134"/>
    <mergeCell ref="R134:S134"/>
    <mergeCell ref="A132:I132"/>
    <mergeCell ref="J132:K132"/>
    <mergeCell ref="L132:M132"/>
    <mergeCell ref="N132:O132"/>
    <mergeCell ref="P132:Q132"/>
    <mergeCell ref="R132:S132"/>
    <mergeCell ref="A131:I131"/>
    <mergeCell ref="J131:K131"/>
    <mergeCell ref="L131:M131"/>
    <mergeCell ref="N131:O131"/>
    <mergeCell ref="P131:Q131"/>
    <mergeCell ref="R131:S131"/>
    <mergeCell ref="A130:I130"/>
    <mergeCell ref="J130:K130"/>
    <mergeCell ref="L130:M130"/>
    <mergeCell ref="N130:O130"/>
    <mergeCell ref="P130:Q130"/>
    <mergeCell ref="R130:S130"/>
    <mergeCell ref="A129:I129"/>
    <mergeCell ref="J129:K129"/>
    <mergeCell ref="L129:M129"/>
    <mergeCell ref="N129:O129"/>
    <mergeCell ref="P129:Q129"/>
    <mergeCell ref="R129:S129"/>
    <mergeCell ref="A128:I128"/>
    <mergeCell ref="J128:K128"/>
    <mergeCell ref="L128:M128"/>
    <mergeCell ref="N128:O128"/>
    <mergeCell ref="P128:Q128"/>
    <mergeCell ref="R128:S128"/>
    <mergeCell ref="A127:I127"/>
    <mergeCell ref="J127:K127"/>
    <mergeCell ref="L127:M127"/>
    <mergeCell ref="N127:O127"/>
    <mergeCell ref="P127:Q127"/>
    <mergeCell ref="R127:S127"/>
    <mergeCell ref="A126:I126"/>
    <mergeCell ref="J126:K126"/>
    <mergeCell ref="L126:M126"/>
    <mergeCell ref="N126:O126"/>
    <mergeCell ref="P126:Q126"/>
    <mergeCell ref="R126:S126"/>
    <mergeCell ref="A125:I125"/>
    <mergeCell ref="J125:K125"/>
    <mergeCell ref="L125:M125"/>
    <mergeCell ref="N125:O125"/>
    <mergeCell ref="P125:Q125"/>
    <mergeCell ref="R125:S125"/>
    <mergeCell ref="A123:O123"/>
    <mergeCell ref="P123:Q123"/>
    <mergeCell ref="R123:S123"/>
    <mergeCell ref="A124:I124"/>
    <mergeCell ref="J124:K124"/>
    <mergeCell ref="L124:M124"/>
    <mergeCell ref="N124:O124"/>
    <mergeCell ref="P124:Q124"/>
    <mergeCell ref="R124:S124"/>
    <mergeCell ref="A121:I121"/>
    <mergeCell ref="J121:K121"/>
    <mergeCell ref="L121:M121"/>
    <mergeCell ref="N121:O121"/>
    <mergeCell ref="P121:Q121"/>
    <mergeCell ref="R121:S121"/>
    <mergeCell ref="A118:O118"/>
    <mergeCell ref="P118:Q118"/>
    <mergeCell ref="R118:S118"/>
    <mergeCell ref="A120:I120"/>
    <mergeCell ref="J120:K120"/>
    <mergeCell ref="L120:M120"/>
    <mergeCell ref="N120:O120"/>
    <mergeCell ref="P120:Q120"/>
    <mergeCell ref="R120:S120"/>
    <mergeCell ref="A116:O116"/>
    <mergeCell ref="P116:Q116"/>
    <mergeCell ref="R116:S116"/>
    <mergeCell ref="A117:I117"/>
    <mergeCell ref="J117:K117"/>
    <mergeCell ref="L117:M117"/>
    <mergeCell ref="N117:O117"/>
    <mergeCell ref="P117:Q117"/>
    <mergeCell ref="R117:S117"/>
    <mergeCell ref="A115:I115"/>
    <mergeCell ref="J115:K115"/>
    <mergeCell ref="L115:M115"/>
    <mergeCell ref="N115:O115"/>
    <mergeCell ref="P115:Q115"/>
    <mergeCell ref="R115:S115"/>
    <mergeCell ref="A114:I114"/>
    <mergeCell ref="J114:K114"/>
    <mergeCell ref="L114:M114"/>
    <mergeCell ref="N114:O114"/>
    <mergeCell ref="P114:Q114"/>
    <mergeCell ref="R114:S114"/>
    <mergeCell ref="A113:I113"/>
    <mergeCell ref="J113:K113"/>
    <mergeCell ref="L113:M113"/>
    <mergeCell ref="N113:O113"/>
    <mergeCell ref="P113:Q113"/>
    <mergeCell ref="R113:S113"/>
    <mergeCell ref="A112:I112"/>
    <mergeCell ref="J112:K112"/>
    <mergeCell ref="L112:M112"/>
    <mergeCell ref="N112:O112"/>
    <mergeCell ref="P112:Q112"/>
    <mergeCell ref="R112:S112"/>
    <mergeCell ref="A111:I111"/>
    <mergeCell ref="J111:K111"/>
    <mergeCell ref="L111:M111"/>
    <mergeCell ref="N111:O111"/>
    <mergeCell ref="P111:Q111"/>
    <mergeCell ref="R111:S111"/>
    <mergeCell ref="A110:I110"/>
    <mergeCell ref="J110:K110"/>
    <mergeCell ref="L110:M110"/>
    <mergeCell ref="N110:O110"/>
    <mergeCell ref="P110:Q110"/>
    <mergeCell ref="R110:S110"/>
    <mergeCell ref="A109:I109"/>
    <mergeCell ref="J109:K109"/>
    <mergeCell ref="L109:M109"/>
    <mergeCell ref="N109:O109"/>
    <mergeCell ref="P109:Q109"/>
    <mergeCell ref="R109:S109"/>
    <mergeCell ref="A108:I108"/>
    <mergeCell ref="J108:K108"/>
    <mergeCell ref="L108:M108"/>
    <mergeCell ref="N108:O108"/>
    <mergeCell ref="P108:Q108"/>
    <mergeCell ref="R108:S108"/>
    <mergeCell ref="A105:I105"/>
    <mergeCell ref="J105:K105"/>
    <mergeCell ref="L105:M105"/>
    <mergeCell ref="N105:O105"/>
    <mergeCell ref="P105:Q105"/>
    <mergeCell ref="R105:S105"/>
    <mergeCell ref="J92:K92"/>
    <mergeCell ref="L92:M92"/>
    <mergeCell ref="N92:O92"/>
    <mergeCell ref="P92:Q92"/>
    <mergeCell ref="R92:S92"/>
    <mergeCell ref="A104:I104"/>
    <mergeCell ref="J104:K104"/>
    <mergeCell ref="L104:M104"/>
    <mergeCell ref="N104:O104"/>
    <mergeCell ref="P104:Q104"/>
    <mergeCell ref="A102:O102"/>
    <mergeCell ref="P102:Q102"/>
    <mergeCell ref="R102:S102"/>
    <mergeCell ref="R97:S97"/>
    <mergeCell ref="R94:S94"/>
    <mergeCell ref="A95:I95"/>
    <mergeCell ref="A76:I76"/>
    <mergeCell ref="J76:K76"/>
    <mergeCell ref="L76:M76"/>
    <mergeCell ref="N76:O76"/>
    <mergeCell ref="P76:Q76"/>
    <mergeCell ref="R76:S76"/>
    <mergeCell ref="A92:I92"/>
    <mergeCell ref="A100:O100"/>
    <mergeCell ref="P100:Q100"/>
    <mergeCell ref="R100:S100"/>
    <mergeCell ref="A101:I101"/>
    <mergeCell ref="J101:K101"/>
    <mergeCell ref="L101:M101"/>
    <mergeCell ref="N101:O101"/>
    <mergeCell ref="P101:Q101"/>
    <mergeCell ref="R101:S101"/>
    <mergeCell ref="N98:O98"/>
    <mergeCell ref="P98:Q98"/>
    <mergeCell ref="R98:S98"/>
    <mergeCell ref="A99:I99"/>
    <mergeCell ref="J99:K99"/>
    <mergeCell ref="L99:M99"/>
    <mergeCell ref="N99:O99"/>
    <mergeCell ref="P99:Q99"/>
    <mergeCell ref="R99:S99"/>
    <mergeCell ref="P96:Q96"/>
    <mergeCell ref="R96:S96"/>
    <mergeCell ref="A97:I97"/>
    <mergeCell ref="J97:K97"/>
    <mergeCell ref="L97:M97"/>
    <mergeCell ref="N97:O97"/>
    <mergeCell ref="P97:Q97"/>
    <mergeCell ref="J211:K211"/>
    <mergeCell ref="A94:I94"/>
    <mergeCell ref="J94:K94"/>
    <mergeCell ref="L94:M94"/>
    <mergeCell ref="N94:O94"/>
    <mergeCell ref="P94:Q94"/>
    <mergeCell ref="A96:I96"/>
    <mergeCell ref="J96:K96"/>
    <mergeCell ref="L96:M96"/>
    <mergeCell ref="N96:O96"/>
    <mergeCell ref="J205:K205"/>
    <mergeCell ref="J206:K206"/>
    <mergeCell ref="J207:K207"/>
    <mergeCell ref="J208:K208"/>
    <mergeCell ref="J209:K209"/>
    <mergeCell ref="J210:K210"/>
    <mergeCell ref="H207:I207"/>
    <mergeCell ref="H206:I206"/>
    <mergeCell ref="H208:I208"/>
    <mergeCell ref="H209:I209"/>
    <mergeCell ref="H210:I210"/>
    <mergeCell ref="H211:I211"/>
    <mergeCell ref="L205:M205"/>
    <mergeCell ref="N205:O205"/>
    <mergeCell ref="L206:M206"/>
    <mergeCell ref="L208:M208"/>
    <mergeCell ref="N208:O208"/>
    <mergeCell ref="A106:O106"/>
    <mergeCell ref="P106:Q106"/>
    <mergeCell ref="A107:I107"/>
    <mergeCell ref="J107:K107"/>
    <mergeCell ref="L107:M107"/>
    <mergeCell ref="J72:K72"/>
    <mergeCell ref="A73:I73"/>
    <mergeCell ref="J73:K73"/>
    <mergeCell ref="A74:O74"/>
    <mergeCell ref="H204:I204"/>
    <mergeCell ref="J204:K204"/>
    <mergeCell ref="A98:I98"/>
    <mergeCell ref="J98:K98"/>
    <mergeCell ref="L98:M98"/>
    <mergeCell ref="H221:I221"/>
    <mergeCell ref="J221:K221"/>
    <mergeCell ref="H222:I222"/>
    <mergeCell ref="J222:K222"/>
    <mergeCell ref="J223:K223"/>
    <mergeCell ref="A204:F204"/>
    <mergeCell ref="A205:F205"/>
    <mergeCell ref="A207:F207"/>
    <mergeCell ref="A206:F206"/>
    <mergeCell ref="H205:I205"/>
    <mergeCell ref="L201:O201"/>
    <mergeCell ref="L202:M202"/>
    <mergeCell ref="N202:O202"/>
    <mergeCell ref="A220:F220"/>
    <mergeCell ref="A221:F221"/>
    <mergeCell ref="L72:M72"/>
    <mergeCell ref="N72:O72"/>
    <mergeCell ref="L73:M73"/>
    <mergeCell ref="N73:O73"/>
    <mergeCell ref="A77:I77"/>
    <mergeCell ref="L204:M204"/>
    <mergeCell ref="N204:O204"/>
    <mergeCell ref="J95:K95"/>
    <mergeCell ref="A200:O200"/>
    <mergeCell ref="P79:Q79"/>
    <mergeCell ref="L207:M207"/>
    <mergeCell ref="N207:O207"/>
    <mergeCell ref="J77:K77"/>
    <mergeCell ref="L77:M77"/>
    <mergeCell ref="N77:O77"/>
    <mergeCell ref="P77:Q77"/>
    <mergeCell ref="J78:K78"/>
    <mergeCell ref="L78:M78"/>
    <mergeCell ref="N78:O78"/>
    <mergeCell ref="A81:I81"/>
    <mergeCell ref="R77:S77"/>
    <mergeCell ref="A78:I78"/>
    <mergeCell ref="R78:S78"/>
    <mergeCell ref="A79:I79"/>
    <mergeCell ref="J79:K79"/>
    <mergeCell ref="L79:M79"/>
    <mergeCell ref="N79:O79"/>
    <mergeCell ref="A80:I80"/>
    <mergeCell ref="J80:K80"/>
    <mergeCell ref="L80:M80"/>
    <mergeCell ref="N80:O80"/>
    <mergeCell ref="L95:M95"/>
    <mergeCell ref="N95:O95"/>
    <mergeCell ref="P95:Q95"/>
    <mergeCell ref="R95:S95"/>
    <mergeCell ref="R106:S106"/>
    <mergeCell ref="N107:O107"/>
    <mergeCell ref="P107:Q107"/>
    <mergeCell ref="R107:S107"/>
    <mergeCell ref="R104:S104"/>
    <mergeCell ref="L209:M209"/>
    <mergeCell ref="N209:O209"/>
    <mergeCell ref="A201:F202"/>
    <mergeCell ref="L203:M203"/>
    <mergeCell ref="N203:O203"/>
    <mergeCell ref="B34:Q34"/>
    <mergeCell ref="R34:S34"/>
    <mergeCell ref="B35:Q35"/>
    <mergeCell ref="R35:S35"/>
    <mergeCell ref="J81:K81"/>
    <mergeCell ref="L81:M81"/>
    <mergeCell ref="N81:O81"/>
    <mergeCell ref="P81:Q81"/>
    <mergeCell ref="R81:S81"/>
    <mergeCell ref="R79:S79"/>
    <mergeCell ref="A196:F196"/>
    <mergeCell ref="G196:H196"/>
    <mergeCell ref="A197:F197"/>
    <mergeCell ref="G197:H197"/>
    <mergeCell ref="A198:F198"/>
    <mergeCell ref="G198:H198"/>
    <mergeCell ref="A193:F193"/>
    <mergeCell ref="G193:H193"/>
    <mergeCell ref="A194:F194"/>
    <mergeCell ref="G194:H194"/>
    <mergeCell ref="P78:Q78"/>
    <mergeCell ref="N206:O206"/>
    <mergeCell ref="P72:Q72"/>
    <mergeCell ref="R72:S72"/>
    <mergeCell ref="P73:Q73"/>
    <mergeCell ref="R73:S73"/>
    <mergeCell ref="P74:Q74"/>
    <mergeCell ref="B33:Q33"/>
    <mergeCell ref="R33:S33"/>
    <mergeCell ref="R15:S15"/>
    <mergeCell ref="O16:Q16"/>
    <mergeCell ref="R16:S16"/>
    <mergeCell ref="O17:Q17"/>
    <mergeCell ref="R17:S17"/>
    <mergeCell ref="O18:Q18"/>
    <mergeCell ref="R18:S18"/>
    <mergeCell ref="A262:O262"/>
    <mergeCell ref="P262:S262"/>
    <mergeCell ref="B13:N13"/>
    <mergeCell ref="B14:N14"/>
    <mergeCell ref="B15:N15"/>
    <mergeCell ref="B16:N16"/>
    <mergeCell ref="B17:N17"/>
    <mergeCell ref="B18:N18"/>
    <mergeCell ref="O13:Q13"/>
    <mergeCell ref="R13:S13"/>
    <mergeCell ref="A259:O259"/>
    <mergeCell ref="P259:S259"/>
    <mergeCell ref="A260:M260"/>
    <mergeCell ref="N260:O260"/>
    <mergeCell ref="P260:S260"/>
    <mergeCell ref="A261:O261"/>
    <mergeCell ref="P261:S261"/>
    <mergeCell ref="F255:G255"/>
    <mergeCell ref="J251:K251"/>
    <mergeCell ref="P80:Q80"/>
    <mergeCell ref="R80:S80"/>
    <mergeCell ref="A82:I82"/>
    <mergeCell ref="J82:K82"/>
    <mergeCell ref="H237:I237"/>
    <mergeCell ref="J237:K237"/>
    <mergeCell ref="H233:I233"/>
    <mergeCell ref="J233:K233"/>
    <mergeCell ref="H234:I234"/>
    <mergeCell ref="J234:K234"/>
    <mergeCell ref="A238:F238"/>
    <mergeCell ref="H235:I235"/>
    <mergeCell ref="J235:K235"/>
    <mergeCell ref="A228:H228"/>
    <mergeCell ref="A216:F216"/>
    <mergeCell ref="H216:I216"/>
    <mergeCell ref="J216:K216"/>
    <mergeCell ref="A217:I217"/>
    <mergeCell ref="J217:K217"/>
    <mergeCell ref="A225:J225"/>
    <mergeCell ref="L216:M216"/>
    <mergeCell ref="N216:O216"/>
    <mergeCell ref="L217:M217"/>
    <mergeCell ref="N217:O217"/>
    <mergeCell ref="J215:K215"/>
    <mergeCell ref="A215:F215"/>
    <mergeCell ref="H215:I215"/>
    <mergeCell ref="A83:I83"/>
    <mergeCell ref="J83:K83"/>
    <mergeCell ref="L83:M83"/>
    <mergeCell ref="N83:O83"/>
    <mergeCell ref="P83:Q83"/>
    <mergeCell ref="R83:S83"/>
    <mergeCell ref="A213:F213"/>
    <mergeCell ref="H213:I213"/>
    <mergeCell ref="J213:K213"/>
    <mergeCell ref="A214:F214"/>
    <mergeCell ref="H214:I214"/>
    <mergeCell ref="J214:K214"/>
    <mergeCell ref="A203:F203"/>
    <mergeCell ref="H203:I203"/>
    <mergeCell ref="J203:K203"/>
    <mergeCell ref="A212:F212"/>
    <mergeCell ref="H212:I212"/>
    <mergeCell ref="J212:K212"/>
    <mergeCell ref="A208:F208"/>
    <mergeCell ref="A209:F209"/>
    <mergeCell ref="A210:F210"/>
    <mergeCell ref="A211:F211"/>
    <mergeCell ref="G201:G202"/>
    <mergeCell ref="H201:K201"/>
    <mergeCell ref="H202:I202"/>
    <mergeCell ref="J202:K202"/>
    <mergeCell ref="A195:F195"/>
    <mergeCell ref="G195:H195"/>
    <mergeCell ref="A190:F190"/>
    <mergeCell ref="G190:H190"/>
    <mergeCell ref="A191:F191"/>
    <mergeCell ref="G191:H191"/>
    <mergeCell ref="A192:F192"/>
    <mergeCell ref="G192:H192"/>
    <mergeCell ref="A186:O186"/>
    <mergeCell ref="P186:Q186"/>
    <mergeCell ref="R186:S186"/>
    <mergeCell ref="A188:I188"/>
    <mergeCell ref="A189:F189"/>
    <mergeCell ref="G189:H189"/>
    <mergeCell ref="A184:O184"/>
    <mergeCell ref="P184:Q184"/>
    <mergeCell ref="R184:S184"/>
    <mergeCell ref="A185:I185"/>
    <mergeCell ref="J185:K185"/>
    <mergeCell ref="L185:M185"/>
    <mergeCell ref="N185:O185"/>
    <mergeCell ref="P185:Q185"/>
    <mergeCell ref="R185:S185"/>
    <mergeCell ref="A183:I183"/>
    <mergeCell ref="J183:K183"/>
    <mergeCell ref="L183:M183"/>
    <mergeCell ref="N183:O183"/>
    <mergeCell ref="P183:Q183"/>
    <mergeCell ref="R183:S183"/>
    <mergeCell ref="A182:I182"/>
    <mergeCell ref="J182:K182"/>
    <mergeCell ref="L182:M182"/>
    <mergeCell ref="N182:O182"/>
    <mergeCell ref="P182:Q182"/>
    <mergeCell ref="R182:S182"/>
    <mergeCell ref="A181:I181"/>
    <mergeCell ref="J181:K181"/>
    <mergeCell ref="L181:M181"/>
    <mergeCell ref="N181:O181"/>
    <mergeCell ref="P181:Q181"/>
    <mergeCell ref="R181:S181"/>
    <mergeCell ref="A180:I180"/>
    <mergeCell ref="J180:K180"/>
    <mergeCell ref="L180:M180"/>
    <mergeCell ref="N180:O180"/>
    <mergeCell ref="P180:Q180"/>
    <mergeCell ref="R180:S180"/>
    <mergeCell ref="A179:I179"/>
    <mergeCell ref="J179:K179"/>
    <mergeCell ref="L179:M179"/>
    <mergeCell ref="N179:O179"/>
    <mergeCell ref="P179:Q179"/>
    <mergeCell ref="R179:S179"/>
    <mergeCell ref="A178:I178"/>
    <mergeCell ref="J178:K178"/>
    <mergeCell ref="L178:M178"/>
    <mergeCell ref="N178:O178"/>
    <mergeCell ref="P178:Q178"/>
    <mergeCell ref="R178:S178"/>
    <mergeCell ref="A177:I177"/>
    <mergeCell ref="J177:K177"/>
    <mergeCell ref="L177:M177"/>
    <mergeCell ref="N177:O177"/>
    <mergeCell ref="P177:Q177"/>
    <mergeCell ref="R177:S177"/>
    <mergeCell ref="P174:Q174"/>
    <mergeCell ref="R174:S174"/>
    <mergeCell ref="A175:I175"/>
    <mergeCell ref="J175:K175"/>
    <mergeCell ref="L175:M175"/>
    <mergeCell ref="N175:O175"/>
    <mergeCell ref="P175:Q175"/>
    <mergeCell ref="R175:S175"/>
    <mergeCell ref="A75:I75"/>
    <mergeCell ref="J75:K75"/>
    <mergeCell ref="L75:M75"/>
    <mergeCell ref="N75:O75"/>
    <mergeCell ref="P75:Q75"/>
    <mergeCell ref="R75:S75"/>
    <mergeCell ref="A173:I173"/>
    <mergeCell ref="J173:K173"/>
    <mergeCell ref="L173:M173"/>
    <mergeCell ref="N173:O173"/>
    <mergeCell ref="P173:Q173"/>
    <mergeCell ref="R173:S173"/>
    <mergeCell ref="A172:I172"/>
    <mergeCell ref="J172:K172"/>
    <mergeCell ref="L172:M172"/>
    <mergeCell ref="N172:O172"/>
    <mergeCell ref="P172:Q172"/>
    <mergeCell ref="R172:S172"/>
    <mergeCell ref="A70:O70"/>
    <mergeCell ref="P70:Q70"/>
    <mergeCell ref="R70:S70"/>
    <mergeCell ref="A171:I171"/>
    <mergeCell ref="J171:K171"/>
    <mergeCell ref="L171:M171"/>
    <mergeCell ref="N171:O171"/>
    <mergeCell ref="P171:Q171"/>
    <mergeCell ref="R171:S171"/>
    <mergeCell ref="A84:O84"/>
    <mergeCell ref="A68:O68"/>
    <mergeCell ref="P68:Q68"/>
    <mergeCell ref="R68:S68"/>
    <mergeCell ref="A69:I69"/>
    <mergeCell ref="J69:K69"/>
    <mergeCell ref="L69:M69"/>
    <mergeCell ref="N69:O69"/>
    <mergeCell ref="P69:Q69"/>
    <mergeCell ref="R69:S69"/>
    <mergeCell ref="R91:S91"/>
    <mergeCell ref="A93:I93"/>
    <mergeCell ref="J93:K93"/>
    <mergeCell ref="L93:M93"/>
    <mergeCell ref="N93:O93"/>
    <mergeCell ref="P93:Q93"/>
    <mergeCell ref="R93:S93"/>
    <mergeCell ref="L82:M82"/>
    <mergeCell ref="N82:O82"/>
    <mergeCell ref="P82:Q82"/>
    <mergeCell ref="R74:S74"/>
    <mergeCell ref="R82:S82"/>
    <mergeCell ref="A72:I72"/>
    <mergeCell ref="A67:I67"/>
    <mergeCell ref="J67:K67"/>
    <mergeCell ref="L67:M67"/>
    <mergeCell ref="N67:O67"/>
    <mergeCell ref="P67:Q67"/>
    <mergeCell ref="R67:S67"/>
    <mergeCell ref="A66:I66"/>
    <mergeCell ref="J66:K66"/>
    <mergeCell ref="L66:M66"/>
    <mergeCell ref="N66:O66"/>
    <mergeCell ref="P66:Q66"/>
    <mergeCell ref="R66:S66"/>
    <mergeCell ref="A65:I65"/>
    <mergeCell ref="J65:K65"/>
    <mergeCell ref="L65:M65"/>
    <mergeCell ref="N65:O65"/>
    <mergeCell ref="P65:Q65"/>
    <mergeCell ref="R65:S65"/>
    <mergeCell ref="A64:I64"/>
    <mergeCell ref="J64:K64"/>
    <mergeCell ref="L64:M64"/>
    <mergeCell ref="N64:O64"/>
    <mergeCell ref="P64:Q64"/>
    <mergeCell ref="R64:S64"/>
    <mergeCell ref="A63:I63"/>
    <mergeCell ref="J63:K63"/>
    <mergeCell ref="L63:M63"/>
    <mergeCell ref="N63:O63"/>
    <mergeCell ref="P63:Q63"/>
    <mergeCell ref="R63:S63"/>
    <mergeCell ref="A62:I62"/>
    <mergeCell ref="J62:K62"/>
    <mergeCell ref="L62:M62"/>
    <mergeCell ref="N62:O62"/>
    <mergeCell ref="P62:Q62"/>
    <mergeCell ref="R62:S62"/>
    <mergeCell ref="A61:I61"/>
    <mergeCell ref="J61:K61"/>
    <mergeCell ref="L61:M61"/>
    <mergeCell ref="N61:O61"/>
    <mergeCell ref="P61:Q61"/>
    <mergeCell ref="R61:S61"/>
    <mergeCell ref="A226:H226"/>
    <mergeCell ref="I226:J226"/>
    <mergeCell ref="A227:H227"/>
    <mergeCell ref="I227:J227"/>
    <mergeCell ref="A230:G230"/>
    <mergeCell ref="H230:J230"/>
    <mergeCell ref="I228:J228"/>
    <mergeCell ref="A229:H229"/>
    <mergeCell ref="I229:J229"/>
    <mergeCell ref="A59:O59"/>
    <mergeCell ref="P59:Q59"/>
    <mergeCell ref="R59:S59"/>
    <mergeCell ref="A60:I60"/>
    <mergeCell ref="J60:K60"/>
    <mergeCell ref="L60:M60"/>
    <mergeCell ref="N60:O60"/>
    <mergeCell ref="P60:Q60"/>
    <mergeCell ref="R60:S60"/>
    <mergeCell ref="L210:M210"/>
    <mergeCell ref="N210:O210"/>
    <mergeCell ref="L211:M211"/>
    <mergeCell ref="N211:O211"/>
    <mergeCell ref="L212:M212"/>
    <mergeCell ref="N212:O212"/>
    <mergeCell ref="L213:M213"/>
    <mergeCell ref="N213:O213"/>
    <mergeCell ref="L214:M214"/>
    <mergeCell ref="N214:O214"/>
    <mergeCell ref="L215:M215"/>
    <mergeCell ref="N215:O215"/>
    <mergeCell ref="P84:Q84"/>
    <mergeCell ref="R84:S84"/>
    <mergeCell ref="A85:I85"/>
    <mergeCell ref="J85:K85"/>
    <mergeCell ref="L85:M85"/>
    <mergeCell ref="N85:O85"/>
    <mergeCell ref="P85:Q85"/>
    <mergeCell ref="R85:S85"/>
    <mergeCell ref="A58:I58"/>
    <mergeCell ref="J58:K58"/>
    <mergeCell ref="L58:M58"/>
    <mergeCell ref="N58:O58"/>
    <mergeCell ref="P58:Q58"/>
    <mergeCell ref="R58:S58"/>
    <mergeCell ref="A89:I89"/>
    <mergeCell ref="J89:K89"/>
    <mergeCell ref="L89:M89"/>
    <mergeCell ref="N89:O89"/>
    <mergeCell ref="P89:Q89"/>
    <mergeCell ref="R89:S89"/>
    <mergeCell ref="A90:O90"/>
    <mergeCell ref="P90:Q90"/>
    <mergeCell ref="R90:S90"/>
    <mergeCell ref="A91:I91"/>
    <mergeCell ref="J91:K91"/>
    <mergeCell ref="L91:M91"/>
    <mergeCell ref="N91:O91"/>
    <mergeCell ref="P91:Q91"/>
    <mergeCell ref="J50:K50"/>
    <mergeCell ref="L50:M50"/>
    <mergeCell ref="N50:O50"/>
    <mergeCell ref="P50:Q50"/>
    <mergeCell ref="R50:S50"/>
    <mergeCell ref="A55:O55"/>
    <mergeCell ref="P55:Q55"/>
    <mergeCell ref="R55:S55"/>
    <mergeCell ref="A57:I57"/>
    <mergeCell ref="J57:K57"/>
    <mergeCell ref="L57:M57"/>
    <mergeCell ref="N57:O57"/>
    <mergeCell ref="P57:Q57"/>
    <mergeCell ref="R57:S57"/>
    <mergeCell ref="A53:O53"/>
    <mergeCell ref="P53:Q53"/>
    <mergeCell ref="R53:S53"/>
    <mergeCell ref="A54:I54"/>
    <mergeCell ref="J54:K54"/>
    <mergeCell ref="L54:M54"/>
    <mergeCell ref="N54:O54"/>
    <mergeCell ref="P54:Q54"/>
    <mergeCell ref="R54:S54"/>
    <mergeCell ref="A88:I88"/>
    <mergeCell ref="J88:K88"/>
    <mergeCell ref="L88:M88"/>
    <mergeCell ref="N88:O88"/>
    <mergeCell ref="P88:Q88"/>
    <mergeCell ref="R88:S88"/>
    <mergeCell ref="A44:O44"/>
    <mergeCell ref="P44:Q44"/>
    <mergeCell ref="R44:S44"/>
    <mergeCell ref="A45:I45"/>
    <mergeCell ref="J45:K45"/>
    <mergeCell ref="L45:M45"/>
    <mergeCell ref="N45:O45"/>
    <mergeCell ref="P45:Q45"/>
    <mergeCell ref="R45:S45"/>
    <mergeCell ref="A49:I49"/>
    <mergeCell ref="J49:K49"/>
    <mergeCell ref="L49:M49"/>
    <mergeCell ref="N49:O49"/>
    <mergeCell ref="P49:Q49"/>
    <mergeCell ref="R49:S49"/>
    <mergeCell ref="A48:I48"/>
    <mergeCell ref="J48:K48"/>
    <mergeCell ref="L48:M48"/>
    <mergeCell ref="N48:O48"/>
    <mergeCell ref="P48:Q48"/>
    <mergeCell ref="R48:S48"/>
    <mergeCell ref="A47:I47"/>
    <mergeCell ref="J47:K47"/>
    <mergeCell ref="L47:M47"/>
    <mergeCell ref="N47:O47"/>
    <mergeCell ref="P47:Q47"/>
    <mergeCell ref="R28:S28"/>
    <mergeCell ref="B29:Q29"/>
    <mergeCell ref="R29:S29"/>
    <mergeCell ref="B36:Q36"/>
    <mergeCell ref="R36:S36"/>
    <mergeCell ref="B31:Q31"/>
    <mergeCell ref="R31:S31"/>
    <mergeCell ref="B32:Q32"/>
    <mergeCell ref="R32:S32"/>
    <mergeCell ref="A46:I46"/>
    <mergeCell ref="J46:K46"/>
    <mergeCell ref="L46:M46"/>
    <mergeCell ref="N46:O46"/>
    <mergeCell ref="P46:Q46"/>
    <mergeCell ref="R46:S46"/>
    <mergeCell ref="A86:O86"/>
    <mergeCell ref="P86:Q86"/>
    <mergeCell ref="R86:S86"/>
    <mergeCell ref="R47:S47"/>
    <mergeCell ref="A52:I52"/>
    <mergeCell ref="J52:K52"/>
    <mergeCell ref="L52:M52"/>
    <mergeCell ref="N52:O52"/>
    <mergeCell ref="P52:Q52"/>
    <mergeCell ref="R52:S52"/>
    <mergeCell ref="A51:I51"/>
    <mergeCell ref="J51:K51"/>
    <mergeCell ref="L51:M51"/>
    <mergeCell ref="N51:O51"/>
    <mergeCell ref="P51:Q51"/>
    <mergeCell ref="R51:S51"/>
    <mergeCell ref="A50:I50"/>
    <mergeCell ref="A26:S26"/>
    <mergeCell ref="A27:Q27"/>
    <mergeCell ref="R27:S27"/>
    <mergeCell ref="B30:Q30"/>
    <mergeCell ref="R30:S30"/>
    <mergeCell ref="O21:Q21"/>
    <mergeCell ref="R21:S21"/>
    <mergeCell ref="B22:N22"/>
    <mergeCell ref="O22:Q22"/>
    <mergeCell ref="R22:S22"/>
    <mergeCell ref="B19:N19"/>
    <mergeCell ref="O19:Q19"/>
    <mergeCell ref="R19:S19"/>
    <mergeCell ref="B20:N20"/>
    <mergeCell ref="O20:Q20"/>
    <mergeCell ref="R20:S20"/>
    <mergeCell ref="A43:I43"/>
    <mergeCell ref="J43:K43"/>
    <mergeCell ref="L43:M43"/>
    <mergeCell ref="N43:O43"/>
    <mergeCell ref="P43:Q43"/>
    <mergeCell ref="R43:S43"/>
    <mergeCell ref="A39:S39"/>
    <mergeCell ref="A42:I42"/>
    <mergeCell ref="J42:K42"/>
    <mergeCell ref="L42:M42"/>
    <mergeCell ref="N42:O42"/>
    <mergeCell ref="P42:Q42"/>
    <mergeCell ref="R42:S42"/>
    <mergeCell ref="A37:Q37"/>
    <mergeCell ref="R37:S37"/>
    <mergeCell ref="B28:Q28"/>
    <mergeCell ref="B11:N11"/>
    <mergeCell ref="O11:Q11"/>
    <mergeCell ref="R11:S11"/>
    <mergeCell ref="B12:N12"/>
    <mergeCell ref="O12:Q12"/>
    <mergeCell ref="R12:S12"/>
    <mergeCell ref="O14:Q14"/>
    <mergeCell ref="R14:S14"/>
    <mergeCell ref="O15:Q15"/>
    <mergeCell ref="A3:S3"/>
    <mergeCell ref="A4:S4"/>
    <mergeCell ref="B7:S7"/>
    <mergeCell ref="A9:S9"/>
    <mergeCell ref="B10:N10"/>
    <mergeCell ref="O10:Q10"/>
    <mergeCell ref="R10:S10"/>
    <mergeCell ref="A24:N24"/>
    <mergeCell ref="O24:Q24"/>
    <mergeCell ref="R24:S24"/>
    <mergeCell ref="B23:N23"/>
    <mergeCell ref="O23:Q23"/>
    <mergeCell ref="R23:S23"/>
    <mergeCell ref="B21:N21"/>
  </mergeCells>
  <phoneticPr fontId="58" type="noConversion"/>
  <pageMargins left="0.51181102362204722" right="0.51181102362204722" top="0.78740157480314965" bottom="0.78740157480314965" header="0.31496062992125984" footer="0.31496062992125984"/>
  <pageSetup paperSize="9" scale="54" fitToHeight="0" orientation="portrait" horizontalDpi="4294967293" verticalDpi="4294967293" r:id="rId1"/>
  <rowBreaks count="3" manualBreakCount="3">
    <brk id="70" max="18" man="1"/>
    <brk id="135" max="18" man="1"/>
    <brk id="199" max="1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pageSetUpPr fitToPage="1"/>
  </sheetPr>
  <dimension ref="A1:AD229"/>
  <sheetViews>
    <sheetView topLeftCell="A207" zoomScale="75" zoomScaleNormal="100" zoomScaleSheetLayoutView="75" workbookViewId="0">
      <selection activeCell="A140" sqref="A140:Q140"/>
    </sheetView>
  </sheetViews>
  <sheetFormatPr defaultRowHeight="14.4"/>
  <cols>
    <col min="1" max="1" width="5.6640625" customWidth="1"/>
    <col min="2" max="2" width="10.21875" customWidth="1"/>
  </cols>
  <sheetData>
    <row r="1" spans="1:30" s="16" customFormat="1" ht="13.2">
      <c r="A1" s="24"/>
      <c r="B1" s="25"/>
      <c r="C1" s="26"/>
      <c r="D1" s="24"/>
      <c r="E1" s="26"/>
      <c r="F1" s="24"/>
      <c r="G1" s="24"/>
      <c r="H1" s="24"/>
      <c r="I1" s="24"/>
      <c r="J1" s="24"/>
      <c r="K1" s="24"/>
      <c r="L1" s="24"/>
      <c r="M1" s="24"/>
      <c r="N1" s="24"/>
      <c r="O1" s="24"/>
      <c r="P1" s="24"/>
      <c r="Q1" s="24"/>
      <c r="R1" s="27"/>
      <c r="S1" s="24"/>
      <c r="T1" s="15"/>
      <c r="U1" s="15"/>
      <c r="V1" s="15"/>
      <c r="X1" s="17"/>
      <c r="Y1" s="17"/>
      <c r="AD1" s="17"/>
    </row>
    <row r="2" spans="1:30" s="16" customFormat="1" ht="38.25" customHeight="1">
      <c r="A2" s="654" t="s">
        <v>134</v>
      </c>
      <c r="B2" s="655"/>
      <c r="C2" s="655"/>
      <c r="D2" s="655"/>
      <c r="E2" s="655"/>
      <c r="F2" s="655"/>
      <c r="G2" s="655"/>
      <c r="H2" s="655"/>
      <c r="I2" s="655"/>
      <c r="J2" s="655"/>
      <c r="K2" s="655"/>
      <c r="L2" s="655"/>
      <c r="M2" s="655"/>
      <c r="N2" s="655"/>
      <c r="O2" s="655"/>
      <c r="P2" s="655"/>
      <c r="Q2" s="655"/>
      <c r="R2" s="655"/>
      <c r="S2" s="656"/>
      <c r="T2" s="18"/>
      <c r="U2" s="18"/>
      <c r="V2" s="18"/>
      <c r="X2" s="17"/>
      <c r="Y2" s="17"/>
      <c r="AD2" s="17"/>
    </row>
    <row r="3" spans="1:30" ht="15.6">
      <c r="A3" s="523" t="s">
        <v>135</v>
      </c>
      <c r="B3" s="523"/>
      <c r="C3" s="523"/>
      <c r="D3" s="523"/>
      <c r="E3" s="523"/>
      <c r="F3" s="523"/>
      <c r="G3" s="523"/>
      <c r="H3" s="523"/>
      <c r="I3" s="523"/>
      <c r="J3" s="523"/>
      <c r="K3" s="523"/>
      <c r="L3" s="523"/>
      <c r="M3" s="523"/>
      <c r="N3" s="523"/>
      <c r="O3" s="523"/>
      <c r="P3" s="523"/>
      <c r="Q3" s="523"/>
      <c r="R3" s="523"/>
      <c r="S3" s="523"/>
    </row>
    <row r="4" spans="1:30" ht="15.6">
      <c r="A4" s="523" t="s">
        <v>136</v>
      </c>
      <c r="B4" s="523"/>
      <c r="C4" s="523"/>
      <c r="D4" s="523"/>
      <c r="E4" s="523"/>
      <c r="F4" s="523"/>
      <c r="G4" s="523"/>
      <c r="H4" s="523"/>
      <c r="I4" s="523"/>
      <c r="J4" s="523"/>
      <c r="K4" s="523"/>
      <c r="L4" s="523"/>
      <c r="M4" s="523"/>
      <c r="N4" s="523"/>
      <c r="O4" s="523"/>
      <c r="P4" s="523"/>
      <c r="Q4" s="523"/>
      <c r="R4" s="523"/>
      <c r="S4" s="523"/>
    </row>
    <row r="5" spans="1:30" ht="15.6">
      <c r="A5" s="308" t="s">
        <v>137</v>
      </c>
      <c r="B5" s="29"/>
      <c r="C5" s="29"/>
      <c r="D5" s="29"/>
      <c r="E5" s="29"/>
      <c r="F5" s="29"/>
      <c r="G5" s="29"/>
      <c r="H5" s="29"/>
      <c r="I5" s="29"/>
      <c r="J5" s="29"/>
      <c r="K5" s="29"/>
      <c r="L5" s="29"/>
      <c r="M5" s="29"/>
      <c r="N5" s="29"/>
      <c r="O5" s="29"/>
      <c r="P5" s="29"/>
      <c r="Q5" s="29"/>
      <c r="R5" s="29"/>
      <c r="S5" s="29"/>
    </row>
    <row r="6" spans="1:30" ht="15.6">
      <c r="A6" s="308"/>
      <c r="B6" s="29"/>
      <c r="C6" s="29"/>
      <c r="D6" s="29"/>
      <c r="E6" s="29"/>
      <c r="F6" s="29"/>
      <c r="G6" s="29"/>
      <c r="H6" s="29"/>
      <c r="I6" s="29"/>
      <c r="J6" s="29"/>
      <c r="K6" s="29"/>
      <c r="L6" s="29"/>
      <c r="M6" s="29"/>
      <c r="N6" s="29"/>
      <c r="O6" s="29"/>
      <c r="P6" s="29"/>
      <c r="Q6" s="29"/>
      <c r="R6" s="29"/>
      <c r="S6" s="29"/>
    </row>
    <row r="7" spans="1:30" s="16" customFormat="1" ht="37.5" customHeight="1">
      <c r="A7" s="415" t="s">
        <v>639</v>
      </c>
      <c r="B7" s="524" t="s">
        <v>468</v>
      </c>
      <c r="C7" s="524"/>
      <c r="D7" s="524"/>
      <c r="E7" s="524"/>
      <c r="F7" s="524"/>
      <c r="G7" s="524"/>
      <c r="H7" s="524"/>
      <c r="I7" s="524"/>
      <c r="J7" s="524"/>
      <c r="K7" s="524"/>
      <c r="L7" s="524"/>
      <c r="M7" s="524"/>
      <c r="N7" s="524"/>
      <c r="O7" s="524"/>
      <c r="P7" s="524"/>
      <c r="Q7" s="524"/>
      <c r="R7" s="524"/>
      <c r="S7" s="524"/>
      <c r="T7" s="18"/>
      <c r="U7" s="18"/>
      <c r="V7" s="18"/>
      <c r="X7" s="17"/>
      <c r="Y7" s="17"/>
      <c r="AD7" s="17"/>
    </row>
    <row r="8" spans="1:30" ht="15.6">
      <c r="A8" s="332"/>
      <c r="B8" s="29"/>
      <c r="C8" s="29"/>
      <c r="D8" s="29"/>
      <c r="E8" s="29"/>
      <c r="F8" s="29"/>
      <c r="G8" s="29"/>
      <c r="H8" s="29"/>
      <c r="I8" s="29"/>
      <c r="J8" s="29"/>
      <c r="K8" s="29"/>
      <c r="L8" s="29"/>
      <c r="M8" s="29"/>
      <c r="N8" s="29"/>
      <c r="O8" s="29"/>
      <c r="P8" s="29"/>
      <c r="Q8" s="29"/>
      <c r="R8" s="29"/>
      <c r="S8" s="29"/>
    </row>
    <row r="9" spans="1:30" s="16" customFormat="1" ht="16.5" customHeight="1">
      <c r="A9" s="525" t="s">
        <v>541</v>
      </c>
      <c r="B9" s="525"/>
      <c r="C9" s="525"/>
      <c r="D9" s="525"/>
      <c r="E9" s="525"/>
      <c r="F9" s="525"/>
      <c r="G9" s="525"/>
      <c r="H9" s="525"/>
      <c r="I9" s="525"/>
      <c r="J9" s="525"/>
      <c r="K9" s="525"/>
      <c r="L9" s="525"/>
      <c r="M9" s="525"/>
      <c r="N9" s="525"/>
      <c r="O9" s="525"/>
      <c r="P9" s="525"/>
      <c r="Q9" s="525"/>
      <c r="R9" s="525"/>
      <c r="S9" s="525"/>
      <c r="T9" s="18"/>
      <c r="U9" s="18"/>
      <c r="V9" s="18"/>
      <c r="X9" s="17"/>
      <c r="Y9" s="17"/>
      <c r="AD9" s="17"/>
    </row>
    <row r="10" spans="1:30" s="16" customFormat="1" ht="16.5" customHeight="1">
      <c r="A10" s="376" t="s">
        <v>545</v>
      </c>
      <c r="B10" s="526" t="s">
        <v>544</v>
      </c>
      <c r="C10" s="527"/>
      <c r="D10" s="527"/>
      <c r="E10" s="527"/>
      <c r="F10" s="527"/>
      <c r="G10" s="527"/>
      <c r="H10" s="527"/>
      <c r="I10" s="527"/>
      <c r="J10" s="527"/>
      <c r="K10" s="527"/>
      <c r="L10" s="527"/>
      <c r="M10" s="527"/>
      <c r="N10" s="528"/>
      <c r="O10" s="529" t="s">
        <v>543</v>
      </c>
      <c r="P10" s="530"/>
      <c r="Q10" s="531"/>
      <c r="R10" s="532" t="s">
        <v>542</v>
      </c>
      <c r="S10" s="532"/>
      <c r="T10" s="18"/>
      <c r="U10" s="18"/>
      <c r="V10" s="18"/>
    </row>
    <row r="11" spans="1:30" s="16" customFormat="1" ht="13.8">
      <c r="A11" s="378" t="s">
        <v>546</v>
      </c>
      <c r="B11" s="509" t="s">
        <v>547</v>
      </c>
      <c r="C11" s="510"/>
      <c r="D11" s="510"/>
      <c r="E11" s="510"/>
      <c r="F11" s="510"/>
      <c r="G11" s="510"/>
      <c r="H11" s="510"/>
      <c r="I11" s="510"/>
      <c r="J11" s="510"/>
      <c r="K11" s="510"/>
      <c r="L11" s="510"/>
      <c r="M11" s="510"/>
      <c r="N11" s="511"/>
      <c r="O11" s="512">
        <f>SUM(O12:Q13)</f>
        <v>28081.383132213337</v>
      </c>
      <c r="P11" s="513"/>
      <c r="Q11" s="514"/>
      <c r="R11" s="515">
        <f>O11/$O$27</f>
        <v>0.35552280754330234</v>
      </c>
      <c r="S11" s="515"/>
      <c r="T11" s="18"/>
      <c r="U11" s="18"/>
      <c r="V11" s="18"/>
    </row>
    <row r="12" spans="1:30" s="16" customFormat="1" ht="16.5" customHeight="1">
      <c r="A12" s="377" t="s">
        <v>548</v>
      </c>
      <c r="B12" s="516" t="str">
        <f>B31</f>
        <v>Coletor diurno (inclusive reserva)</v>
      </c>
      <c r="C12" s="517"/>
      <c r="D12" s="517"/>
      <c r="E12" s="517"/>
      <c r="F12" s="517"/>
      <c r="G12" s="517"/>
      <c r="H12" s="517"/>
      <c r="I12" s="517"/>
      <c r="J12" s="517"/>
      <c r="K12" s="517"/>
      <c r="L12" s="517"/>
      <c r="M12" s="517"/>
      <c r="N12" s="518"/>
      <c r="O12" s="519">
        <f>R76</f>
        <v>17626.979689190401</v>
      </c>
      <c r="P12" s="520"/>
      <c r="Q12" s="521"/>
      <c r="R12" s="522"/>
      <c r="S12" s="522"/>
      <c r="T12" s="18"/>
      <c r="U12" s="18"/>
      <c r="V12" s="18"/>
    </row>
    <row r="13" spans="1:30" s="16" customFormat="1" ht="16.5" customHeight="1">
      <c r="A13" s="377" t="s">
        <v>549</v>
      </c>
      <c r="B13" s="516" t="str">
        <f>B32</f>
        <v>Motorista diurno (inclusive reserva)</v>
      </c>
      <c r="C13" s="517"/>
      <c r="D13" s="517"/>
      <c r="E13" s="517"/>
      <c r="F13" s="517"/>
      <c r="G13" s="517"/>
      <c r="H13" s="517"/>
      <c r="I13" s="517"/>
      <c r="J13" s="517"/>
      <c r="K13" s="517"/>
      <c r="L13" s="517"/>
      <c r="M13" s="517"/>
      <c r="N13" s="518"/>
      <c r="O13" s="519">
        <f>R95</f>
        <v>10454.403443022937</v>
      </c>
      <c r="P13" s="520"/>
      <c r="Q13" s="521"/>
      <c r="R13" s="522"/>
      <c r="S13" s="522"/>
      <c r="T13" s="18"/>
      <c r="U13" s="18"/>
      <c r="V13" s="18"/>
    </row>
    <row r="14" spans="1:30" s="16" customFormat="1" ht="16.5" customHeight="1">
      <c r="A14" s="377" t="s">
        <v>550</v>
      </c>
      <c r="B14" s="516" t="str">
        <f>B33</f>
        <v>Encarregado</v>
      </c>
      <c r="C14" s="517"/>
      <c r="D14" s="517"/>
      <c r="E14" s="517"/>
      <c r="F14" s="517"/>
      <c r="G14" s="517"/>
      <c r="H14" s="517"/>
      <c r="I14" s="517"/>
      <c r="J14" s="517"/>
      <c r="K14" s="517"/>
      <c r="L14" s="517"/>
      <c r="M14" s="517"/>
      <c r="N14" s="518"/>
      <c r="O14" s="519">
        <f>R112</f>
        <v>2572.0917799999997</v>
      </c>
      <c r="P14" s="520"/>
      <c r="Q14" s="521"/>
      <c r="R14" s="522"/>
      <c r="S14" s="522"/>
      <c r="T14" s="18"/>
      <c r="U14" s="18"/>
      <c r="V14" s="18"/>
    </row>
    <row r="15" spans="1:30" s="16" customFormat="1" ht="16.5" customHeight="1">
      <c r="A15" s="378" t="s">
        <v>552</v>
      </c>
      <c r="B15" s="546" t="s">
        <v>554</v>
      </c>
      <c r="C15" s="547"/>
      <c r="D15" s="547"/>
      <c r="E15" s="547"/>
      <c r="F15" s="547"/>
      <c r="G15" s="547"/>
      <c r="H15" s="547"/>
      <c r="I15" s="547"/>
      <c r="J15" s="547"/>
      <c r="K15" s="547"/>
      <c r="L15" s="547"/>
      <c r="M15" s="547"/>
      <c r="N15" s="548"/>
      <c r="O15" s="512">
        <f>O16+O25</f>
        <v>50860.65185185185</v>
      </c>
      <c r="P15" s="513"/>
      <c r="Q15" s="514"/>
      <c r="R15" s="515">
        <f>O15/$O$27</f>
        <v>0.64391848701747412</v>
      </c>
      <c r="S15" s="515"/>
      <c r="T15" s="18"/>
      <c r="U15" s="18"/>
      <c r="V15" s="18"/>
    </row>
    <row r="16" spans="1:30" s="16" customFormat="1" ht="16.5" customHeight="1">
      <c r="A16" s="413" t="s">
        <v>616</v>
      </c>
      <c r="B16" s="725" t="str">
        <f>B37</f>
        <v>Caminhão com caçamba Compactador 15 m³
Carga compactada 8,0 ton</v>
      </c>
      <c r="C16" s="726"/>
      <c r="D16" s="726"/>
      <c r="E16" s="726"/>
      <c r="F16" s="726"/>
      <c r="G16" s="726"/>
      <c r="H16" s="726"/>
      <c r="I16" s="726"/>
      <c r="J16" s="726"/>
      <c r="K16" s="726"/>
      <c r="L16" s="726"/>
      <c r="M16" s="726"/>
      <c r="N16" s="727"/>
      <c r="O16" s="728">
        <f>SUM(O17:Q24)</f>
        <v>48370.65185185185</v>
      </c>
      <c r="P16" s="729"/>
      <c r="Q16" s="730"/>
      <c r="R16" s="731">
        <f>O16/$O$27</f>
        <v>0.61239397888997682</v>
      </c>
      <c r="S16" s="731"/>
      <c r="T16" s="18"/>
      <c r="U16" s="18"/>
      <c r="V16" s="18"/>
    </row>
    <row r="17" spans="1:30" s="16" customFormat="1" ht="16.5" customHeight="1">
      <c r="A17" s="377" t="s">
        <v>620</v>
      </c>
      <c r="B17" s="516" t="s">
        <v>166</v>
      </c>
      <c r="C17" s="517"/>
      <c r="D17" s="517"/>
      <c r="E17" s="517"/>
      <c r="F17" s="517"/>
      <c r="G17" s="517"/>
      <c r="H17" s="517"/>
      <c r="I17" s="517"/>
      <c r="J17" s="517"/>
      <c r="K17" s="517"/>
      <c r="L17" s="517"/>
      <c r="M17" s="517"/>
      <c r="N17" s="518"/>
      <c r="O17" s="519">
        <f>E155</f>
        <v>11957.785185185185</v>
      </c>
      <c r="P17" s="520"/>
      <c r="Q17" s="521"/>
      <c r="R17" s="522"/>
      <c r="S17" s="522"/>
      <c r="T17" s="18"/>
      <c r="U17" s="18"/>
      <c r="V17" s="18"/>
    </row>
    <row r="18" spans="1:30" s="16" customFormat="1" ht="16.5" customHeight="1">
      <c r="A18" s="377" t="s">
        <v>622</v>
      </c>
      <c r="B18" s="516" t="s">
        <v>184</v>
      </c>
      <c r="C18" s="517"/>
      <c r="D18" s="517"/>
      <c r="E18" s="517"/>
      <c r="F18" s="517"/>
      <c r="G18" s="517"/>
      <c r="H18" s="517"/>
      <c r="I18" s="517"/>
      <c r="J18" s="517"/>
      <c r="K18" s="517"/>
      <c r="L18" s="517"/>
      <c r="M18" s="517"/>
      <c r="N18" s="518"/>
      <c r="O18" s="519">
        <f>Q164</f>
        <v>2097.3333333333335</v>
      </c>
      <c r="P18" s="520"/>
      <c r="Q18" s="521"/>
      <c r="R18" s="522"/>
      <c r="S18" s="522"/>
      <c r="T18" s="18"/>
      <c r="U18" s="18"/>
      <c r="V18" s="18"/>
    </row>
    <row r="19" spans="1:30" s="16" customFormat="1" ht="16.5" customHeight="1">
      <c r="A19" s="377" t="s">
        <v>621</v>
      </c>
      <c r="B19" s="516" t="s">
        <v>163</v>
      </c>
      <c r="C19" s="517"/>
      <c r="D19" s="517"/>
      <c r="E19" s="517"/>
      <c r="F19" s="517"/>
      <c r="G19" s="517"/>
      <c r="H19" s="517"/>
      <c r="I19" s="517"/>
      <c r="J19" s="517"/>
      <c r="K19" s="517"/>
      <c r="L19" s="517"/>
      <c r="M19" s="517"/>
      <c r="N19" s="518"/>
      <c r="O19" s="519">
        <f>N171</f>
        <v>5489.1333333333332</v>
      </c>
      <c r="P19" s="520"/>
      <c r="Q19" s="521"/>
      <c r="R19" s="522"/>
      <c r="S19" s="522"/>
      <c r="T19" s="18"/>
      <c r="U19" s="18"/>
      <c r="V19" s="18"/>
    </row>
    <row r="20" spans="1:30" s="16" customFormat="1" ht="16.5" customHeight="1">
      <c r="A20" s="377"/>
      <c r="B20" s="516" t="s">
        <v>167</v>
      </c>
      <c r="C20" s="517"/>
      <c r="D20" s="517"/>
      <c r="E20" s="517"/>
      <c r="F20" s="517"/>
      <c r="G20" s="517"/>
      <c r="H20" s="517"/>
      <c r="I20" s="517"/>
      <c r="J20" s="517"/>
      <c r="K20" s="517"/>
      <c r="L20" s="517"/>
      <c r="M20" s="517"/>
      <c r="N20" s="518"/>
      <c r="O20" s="519">
        <f>H178</f>
        <v>1800</v>
      </c>
      <c r="P20" s="520"/>
      <c r="Q20" s="521"/>
      <c r="R20" s="522"/>
      <c r="S20" s="522"/>
      <c r="T20" s="18"/>
      <c r="U20" s="18"/>
      <c r="V20" s="18"/>
    </row>
    <row r="21" spans="1:30" s="16" customFormat="1" ht="16.5" customHeight="1">
      <c r="A21" s="377" t="s">
        <v>619</v>
      </c>
      <c r="B21" s="516" t="s">
        <v>169</v>
      </c>
      <c r="C21" s="517"/>
      <c r="D21" s="517"/>
      <c r="E21" s="517"/>
      <c r="F21" s="517"/>
      <c r="G21" s="517"/>
      <c r="H21" s="517"/>
      <c r="I21" s="517"/>
      <c r="J21" s="517"/>
      <c r="K21" s="517"/>
      <c r="L21" s="517"/>
      <c r="M21" s="517"/>
      <c r="N21" s="518"/>
      <c r="O21" s="519">
        <f>O189</f>
        <v>1009.7800000000001</v>
      </c>
      <c r="P21" s="520"/>
      <c r="Q21" s="521"/>
      <c r="R21" s="522"/>
      <c r="S21" s="522"/>
      <c r="T21" s="18"/>
      <c r="U21" s="18"/>
      <c r="V21" s="18"/>
    </row>
    <row r="22" spans="1:30" s="16" customFormat="1" ht="16.5" customHeight="1">
      <c r="A22" s="377" t="s">
        <v>617</v>
      </c>
      <c r="B22" s="516" t="s">
        <v>173</v>
      </c>
      <c r="C22" s="517"/>
      <c r="D22" s="517"/>
      <c r="E22" s="517"/>
      <c r="F22" s="517"/>
      <c r="G22" s="517"/>
      <c r="H22" s="517"/>
      <c r="I22" s="517"/>
      <c r="J22" s="517"/>
      <c r="K22" s="517"/>
      <c r="L22" s="517"/>
      <c r="M22" s="517"/>
      <c r="N22" s="518"/>
      <c r="O22" s="519">
        <f>I196</f>
        <v>19212</v>
      </c>
      <c r="P22" s="520"/>
      <c r="Q22" s="521"/>
      <c r="R22" s="522"/>
      <c r="S22" s="522"/>
      <c r="T22" s="18"/>
      <c r="U22" s="18"/>
      <c r="V22" s="18"/>
    </row>
    <row r="23" spans="1:30" s="16" customFormat="1" ht="16.5" customHeight="1">
      <c r="A23" s="377" t="s">
        <v>618</v>
      </c>
      <c r="B23" s="516" t="s">
        <v>623</v>
      </c>
      <c r="C23" s="517"/>
      <c r="D23" s="517"/>
      <c r="E23" s="517"/>
      <c r="F23" s="517"/>
      <c r="G23" s="517"/>
      <c r="H23" s="517"/>
      <c r="I23" s="517"/>
      <c r="J23" s="517"/>
      <c r="K23" s="517"/>
      <c r="L23" s="517"/>
      <c r="M23" s="517"/>
      <c r="N23" s="518"/>
      <c r="O23" s="519">
        <f>G206</f>
        <v>6504.62</v>
      </c>
      <c r="P23" s="520"/>
      <c r="Q23" s="521"/>
      <c r="R23" s="522"/>
      <c r="S23" s="522"/>
      <c r="T23" s="18"/>
      <c r="U23" s="18"/>
      <c r="V23" s="18"/>
    </row>
    <row r="24" spans="1:30" s="16" customFormat="1" ht="16.5" customHeight="1">
      <c r="A24" s="377"/>
      <c r="B24" s="516" t="s">
        <v>214</v>
      </c>
      <c r="C24" s="517"/>
      <c r="D24" s="517"/>
      <c r="E24" s="517"/>
      <c r="F24" s="517"/>
      <c r="G24" s="517"/>
      <c r="H24" s="517"/>
      <c r="I24" s="517"/>
      <c r="J24" s="517"/>
      <c r="K24" s="517"/>
      <c r="L24" s="517"/>
      <c r="M24" s="517"/>
      <c r="N24" s="518"/>
      <c r="O24" s="519">
        <f>G211</f>
        <v>300</v>
      </c>
      <c r="P24" s="520"/>
      <c r="Q24" s="521"/>
      <c r="R24" s="522"/>
      <c r="S24" s="522"/>
      <c r="T24" s="18"/>
      <c r="U24" s="18"/>
      <c r="V24" s="18"/>
    </row>
    <row r="25" spans="1:30" s="16" customFormat="1" ht="16.5" customHeight="1">
      <c r="A25" s="413" t="s">
        <v>624</v>
      </c>
      <c r="B25" s="725" t="s">
        <v>625</v>
      </c>
      <c r="C25" s="726"/>
      <c r="D25" s="726"/>
      <c r="E25" s="726"/>
      <c r="F25" s="726"/>
      <c r="G25" s="726"/>
      <c r="H25" s="726"/>
      <c r="I25" s="726"/>
      <c r="J25" s="726"/>
      <c r="K25" s="726"/>
      <c r="L25" s="726"/>
      <c r="M25" s="726"/>
      <c r="N25" s="727"/>
      <c r="O25" s="728">
        <f>H216</f>
        <v>2490</v>
      </c>
      <c r="P25" s="729"/>
      <c r="Q25" s="730"/>
      <c r="R25" s="731">
        <f>O25/$O$27</f>
        <v>3.1524508127497228E-2</v>
      </c>
      <c r="S25" s="731"/>
      <c r="T25" s="18"/>
      <c r="U25" s="18"/>
      <c r="V25" s="18"/>
    </row>
    <row r="26" spans="1:30" s="16" customFormat="1" ht="16.5" customHeight="1">
      <c r="A26" s="413" t="s">
        <v>553</v>
      </c>
      <c r="B26" s="725" t="s">
        <v>614</v>
      </c>
      <c r="C26" s="726"/>
      <c r="D26" s="726"/>
      <c r="E26" s="726"/>
      <c r="F26" s="726"/>
      <c r="G26" s="726"/>
      <c r="H26" s="726"/>
      <c r="I26" s="726"/>
      <c r="J26" s="726"/>
      <c r="K26" s="726"/>
      <c r="L26" s="726"/>
      <c r="M26" s="726"/>
      <c r="N26" s="727"/>
      <c r="O26" s="728">
        <f>L223</f>
        <v>44.129999999999995</v>
      </c>
      <c r="P26" s="729"/>
      <c r="Q26" s="730"/>
      <c r="R26" s="731">
        <f>O26/$O$27</f>
        <v>5.5870543922347492E-4</v>
      </c>
      <c r="S26" s="731"/>
      <c r="T26" s="18"/>
      <c r="U26" s="18"/>
      <c r="V26" s="18"/>
    </row>
    <row r="27" spans="1:30" s="16" customFormat="1" ht="18">
      <c r="A27" s="533" t="s">
        <v>626</v>
      </c>
      <c r="B27" s="533"/>
      <c r="C27" s="533"/>
      <c r="D27" s="533"/>
      <c r="E27" s="533"/>
      <c r="F27" s="533"/>
      <c r="G27" s="533"/>
      <c r="H27" s="533"/>
      <c r="I27" s="533"/>
      <c r="J27" s="533"/>
      <c r="K27" s="533"/>
      <c r="L27" s="533"/>
      <c r="M27" s="533"/>
      <c r="N27" s="534"/>
      <c r="O27" s="535">
        <f>O11+O15+O26</f>
        <v>78986.164984065195</v>
      </c>
      <c r="P27" s="536"/>
      <c r="Q27" s="537"/>
      <c r="R27" s="538">
        <v>1</v>
      </c>
      <c r="S27" s="538"/>
      <c r="T27" s="18"/>
      <c r="U27" s="18"/>
      <c r="V27" s="18"/>
    </row>
    <row r="28" spans="1:30" s="16" customFormat="1" ht="10.5" customHeight="1">
      <c r="A28" s="383"/>
      <c r="B28" s="386"/>
      <c r="C28" s="386"/>
      <c r="D28" s="386"/>
      <c r="E28" s="386"/>
      <c r="F28" s="386"/>
      <c r="G28" s="386"/>
      <c r="H28" s="386"/>
      <c r="I28" s="386"/>
      <c r="J28" s="386"/>
      <c r="K28" s="386"/>
      <c r="L28" s="386"/>
      <c r="M28" s="386"/>
      <c r="N28" s="386"/>
      <c r="O28" s="386"/>
      <c r="P28" s="333"/>
      <c r="Q28" s="333"/>
      <c r="R28" s="385"/>
      <c r="S28" s="385"/>
      <c r="T28" s="18"/>
      <c r="U28" s="18"/>
      <c r="V28" s="18"/>
    </row>
    <row r="29" spans="1:30" s="16" customFormat="1" ht="16.5" customHeight="1">
      <c r="A29" s="525" t="s">
        <v>556</v>
      </c>
      <c r="B29" s="525"/>
      <c r="C29" s="525"/>
      <c r="D29" s="525"/>
      <c r="E29" s="525"/>
      <c r="F29" s="525"/>
      <c r="G29" s="525"/>
      <c r="H29" s="525"/>
      <c r="I29" s="525"/>
      <c r="J29" s="525"/>
      <c r="K29" s="525"/>
      <c r="L29" s="525"/>
      <c r="M29" s="525"/>
      <c r="N29" s="525"/>
      <c r="O29" s="525"/>
      <c r="P29" s="525"/>
      <c r="Q29" s="525"/>
      <c r="R29" s="525"/>
      <c r="S29" s="525"/>
      <c r="T29" s="18"/>
      <c r="U29" s="18"/>
      <c r="V29" s="18"/>
      <c r="X29" s="17"/>
      <c r="Y29" s="17"/>
      <c r="AD29" s="17"/>
    </row>
    <row r="30" spans="1:30" s="16" customFormat="1" ht="13.8">
      <c r="A30" s="539" t="s">
        <v>547</v>
      </c>
      <c r="B30" s="540"/>
      <c r="C30" s="540"/>
      <c r="D30" s="540"/>
      <c r="E30" s="540"/>
      <c r="F30" s="540"/>
      <c r="G30" s="540"/>
      <c r="H30" s="540"/>
      <c r="I30" s="540"/>
      <c r="J30" s="540"/>
      <c r="K30" s="540"/>
      <c r="L30" s="540"/>
      <c r="M30" s="540"/>
      <c r="N30" s="540"/>
      <c r="O30" s="540"/>
      <c r="P30" s="540"/>
      <c r="Q30" s="541"/>
      <c r="R30" s="542" t="s">
        <v>36</v>
      </c>
      <c r="S30" s="543"/>
      <c r="T30" s="18"/>
      <c r="U30" s="18"/>
      <c r="V30" s="18"/>
    </row>
    <row r="31" spans="1:30" s="16" customFormat="1" ht="13.8">
      <c r="A31" s="377" t="s">
        <v>548</v>
      </c>
      <c r="B31" s="516" t="str">
        <f>'MÃO DE OBRA'!B4</f>
        <v>Coletor diurno (inclusive reserva)</v>
      </c>
      <c r="C31" s="517"/>
      <c r="D31" s="517"/>
      <c r="E31" s="517"/>
      <c r="F31" s="517"/>
      <c r="G31" s="517"/>
      <c r="H31" s="517"/>
      <c r="I31" s="517"/>
      <c r="J31" s="517"/>
      <c r="K31" s="517"/>
      <c r="L31" s="517"/>
      <c r="M31" s="517"/>
      <c r="N31" s="517"/>
      <c r="O31" s="517"/>
      <c r="P31" s="517"/>
      <c r="Q31" s="518"/>
      <c r="R31" s="544">
        <v>4</v>
      </c>
      <c r="S31" s="545"/>
      <c r="T31" s="18"/>
      <c r="U31" s="18"/>
      <c r="V31" s="18"/>
    </row>
    <row r="32" spans="1:30" s="16" customFormat="1" ht="16.5" customHeight="1">
      <c r="A32" s="377" t="s">
        <v>549</v>
      </c>
      <c r="B32" s="516" t="str">
        <f>'MÃO DE OBRA'!B6</f>
        <v>Motorista diurno (inclusive reserva)</v>
      </c>
      <c r="C32" s="517"/>
      <c r="D32" s="517"/>
      <c r="E32" s="517"/>
      <c r="F32" s="517"/>
      <c r="G32" s="517"/>
      <c r="H32" s="517"/>
      <c r="I32" s="517"/>
      <c r="J32" s="517"/>
      <c r="K32" s="517"/>
      <c r="L32" s="517"/>
      <c r="M32" s="517"/>
      <c r="N32" s="517"/>
      <c r="O32" s="517"/>
      <c r="P32" s="517"/>
      <c r="Q32" s="518"/>
      <c r="R32" s="544">
        <v>2</v>
      </c>
      <c r="S32" s="545"/>
      <c r="T32" s="18"/>
      <c r="U32" s="18"/>
      <c r="V32" s="18"/>
    </row>
    <row r="33" spans="1:22" s="16" customFormat="1" ht="16.5" customHeight="1">
      <c r="A33" s="377" t="s">
        <v>550</v>
      </c>
      <c r="B33" s="516" t="str">
        <f>'MÃO DE OBRA'!B9</f>
        <v>Encarregado</v>
      </c>
      <c r="C33" s="517"/>
      <c r="D33" s="517"/>
      <c r="E33" s="517"/>
      <c r="F33" s="517"/>
      <c r="G33" s="517"/>
      <c r="H33" s="517"/>
      <c r="I33" s="517"/>
      <c r="J33" s="517"/>
      <c r="K33" s="517"/>
      <c r="L33" s="517"/>
      <c r="M33" s="517"/>
      <c r="N33" s="517"/>
      <c r="O33" s="517"/>
      <c r="P33" s="517"/>
      <c r="Q33" s="518"/>
      <c r="R33" s="544">
        <f>'MÃO DE OBRA'!C9</f>
        <v>1</v>
      </c>
      <c r="S33" s="545"/>
      <c r="T33" s="18"/>
      <c r="U33" s="18"/>
      <c r="V33" s="18"/>
    </row>
    <row r="34" spans="1:22" s="16" customFormat="1" ht="13.8">
      <c r="A34" s="539" t="s">
        <v>558</v>
      </c>
      <c r="B34" s="540"/>
      <c r="C34" s="540"/>
      <c r="D34" s="540"/>
      <c r="E34" s="540"/>
      <c r="F34" s="540"/>
      <c r="G34" s="540"/>
      <c r="H34" s="540"/>
      <c r="I34" s="540"/>
      <c r="J34" s="540"/>
      <c r="K34" s="540"/>
      <c r="L34" s="540"/>
      <c r="M34" s="540"/>
      <c r="N34" s="540"/>
      <c r="O34" s="540"/>
      <c r="P34" s="540"/>
      <c r="Q34" s="541"/>
      <c r="R34" s="542">
        <f>SUM(R31:S33)</f>
        <v>7</v>
      </c>
      <c r="S34" s="543"/>
      <c r="T34" s="18"/>
      <c r="U34" s="18"/>
      <c r="V34" s="18"/>
    </row>
    <row r="35" spans="1:22" s="16" customFormat="1" ht="11.25" customHeight="1">
      <c r="A35" s="387"/>
      <c r="B35" s="387"/>
      <c r="C35" s="387"/>
      <c r="D35" s="387"/>
      <c r="E35" s="387"/>
      <c r="F35" s="387"/>
      <c r="G35" s="387"/>
      <c r="H35" s="387"/>
      <c r="I35" s="387"/>
      <c r="J35" s="387"/>
      <c r="K35" s="387"/>
      <c r="L35" s="387"/>
      <c r="M35" s="387"/>
      <c r="N35" s="387"/>
      <c r="O35" s="387"/>
      <c r="P35" s="387"/>
      <c r="Q35" s="387"/>
      <c r="R35" s="388"/>
      <c r="S35" s="388"/>
      <c r="T35" s="18"/>
      <c r="U35" s="18"/>
      <c r="V35" s="18"/>
    </row>
    <row r="36" spans="1:22" s="16" customFormat="1" ht="13.8">
      <c r="A36" s="539" t="s">
        <v>564</v>
      </c>
      <c r="B36" s="540"/>
      <c r="C36" s="540"/>
      <c r="D36" s="540"/>
      <c r="E36" s="540"/>
      <c r="F36" s="540"/>
      <c r="G36" s="540"/>
      <c r="H36" s="540"/>
      <c r="I36" s="540"/>
      <c r="J36" s="540"/>
      <c r="K36" s="540"/>
      <c r="L36" s="540"/>
      <c r="M36" s="540"/>
      <c r="N36" s="540"/>
      <c r="O36" s="540"/>
      <c r="P36" s="540"/>
      <c r="Q36" s="541"/>
      <c r="R36" s="542" t="s">
        <v>36</v>
      </c>
      <c r="S36" s="543"/>
      <c r="T36" s="18"/>
      <c r="U36" s="18"/>
      <c r="V36" s="18"/>
    </row>
    <row r="37" spans="1:22" s="16" customFormat="1" ht="13.8">
      <c r="A37" s="377" t="s">
        <v>555</v>
      </c>
      <c r="B37" s="516" t="str">
        <f>A49</f>
        <v>Caminhão com caçamba Compactador 15 m³
Carga compactada 8,0 ton</v>
      </c>
      <c r="C37" s="517"/>
      <c r="D37" s="517"/>
      <c r="E37" s="517"/>
      <c r="F37" s="517"/>
      <c r="G37" s="517"/>
      <c r="H37" s="517"/>
      <c r="I37" s="517"/>
      <c r="J37" s="517"/>
      <c r="K37" s="517"/>
      <c r="L37" s="517"/>
      <c r="M37" s="517"/>
      <c r="N37" s="517"/>
      <c r="O37" s="517"/>
      <c r="P37" s="517"/>
      <c r="Q37" s="518"/>
      <c r="R37" s="736">
        <f>E42</f>
        <v>1</v>
      </c>
      <c r="S37" s="737"/>
      <c r="T37" s="18"/>
      <c r="U37" s="18"/>
      <c r="V37" s="18"/>
    </row>
    <row r="38" spans="1:22" s="16" customFormat="1" ht="16.5" customHeight="1">
      <c r="A38" s="377" t="s">
        <v>565</v>
      </c>
      <c r="B38" s="516" t="s">
        <v>643</v>
      </c>
      <c r="C38" s="517"/>
      <c r="D38" s="517"/>
      <c r="E38" s="517"/>
      <c r="F38" s="517"/>
      <c r="G38" s="517"/>
      <c r="H38" s="517"/>
      <c r="I38" s="517"/>
      <c r="J38" s="517"/>
      <c r="K38" s="517"/>
      <c r="L38" s="517"/>
      <c r="M38" s="517"/>
      <c r="N38" s="517"/>
      <c r="O38" s="517"/>
      <c r="P38" s="517"/>
      <c r="Q38" s="518"/>
      <c r="R38" s="736">
        <f>E43</f>
        <v>1</v>
      </c>
      <c r="S38" s="737"/>
      <c r="T38" s="18"/>
      <c r="U38" s="18"/>
      <c r="V38" s="18"/>
    </row>
    <row r="39" spans="1:22" s="16" customFormat="1" ht="13.8">
      <c r="A39" s="539" t="s">
        <v>567</v>
      </c>
      <c r="B39" s="540"/>
      <c r="C39" s="540"/>
      <c r="D39" s="540"/>
      <c r="E39" s="540"/>
      <c r="F39" s="540"/>
      <c r="G39" s="540"/>
      <c r="H39" s="540"/>
      <c r="I39" s="540"/>
      <c r="J39" s="540"/>
      <c r="K39" s="540"/>
      <c r="L39" s="540"/>
      <c r="M39" s="540"/>
      <c r="N39" s="540"/>
      <c r="O39" s="540"/>
      <c r="P39" s="540"/>
      <c r="Q39" s="541"/>
      <c r="R39" s="542">
        <f>SUM(R37:S38)</f>
        <v>2</v>
      </c>
      <c r="S39" s="543"/>
      <c r="T39" s="18"/>
      <c r="U39" s="18"/>
      <c r="V39" s="18"/>
    </row>
    <row r="40" spans="1:22" ht="15.6">
      <c r="A40" s="734" t="s">
        <v>640</v>
      </c>
      <c r="B40" s="734"/>
      <c r="C40" s="734"/>
      <c r="D40" s="734"/>
      <c r="E40" s="745">
        <v>200</v>
      </c>
      <c r="F40" s="745"/>
      <c r="G40" s="745"/>
      <c r="H40" s="745"/>
      <c r="I40" s="745"/>
      <c r="J40" s="30"/>
      <c r="K40" s="30"/>
      <c r="L40" s="30"/>
      <c r="M40" s="30"/>
      <c r="N40" s="30"/>
      <c r="O40" s="30"/>
      <c r="P40" s="30"/>
      <c r="Q40" s="30"/>
      <c r="R40" s="30"/>
      <c r="S40" s="30"/>
    </row>
    <row r="41" spans="1:22" ht="15.75" customHeight="1">
      <c r="A41" s="734" t="s">
        <v>629</v>
      </c>
      <c r="B41" s="734"/>
      <c r="C41" s="734"/>
      <c r="D41" s="734"/>
      <c r="E41" s="746" t="s">
        <v>458</v>
      </c>
      <c r="F41" s="746"/>
      <c r="G41" s="746"/>
      <c r="H41" s="746"/>
      <c r="I41" s="746"/>
      <c r="J41" s="30"/>
      <c r="K41" s="30"/>
      <c r="L41" s="30"/>
      <c r="M41" s="30"/>
      <c r="N41" s="30"/>
      <c r="O41" s="30"/>
      <c r="P41" s="30"/>
      <c r="Q41" s="30"/>
      <c r="R41" s="30"/>
      <c r="S41" s="30"/>
    </row>
    <row r="42" spans="1:22" ht="15.75" customHeight="1">
      <c r="A42" s="734" t="s">
        <v>140</v>
      </c>
      <c r="B42" s="734"/>
      <c r="C42" s="734"/>
      <c r="D42" s="734"/>
      <c r="E42" s="747">
        <v>1</v>
      </c>
      <c r="F42" s="747"/>
      <c r="G42" s="747"/>
      <c r="H42" s="747"/>
      <c r="I42" s="747"/>
      <c r="J42" s="30"/>
      <c r="K42" s="30"/>
      <c r="L42" s="30"/>
      <c r="M42" s="30"/>
      <c r="N42" s="30"/>
      <c r="O42" s="30"/>
      <c r="P42" s="30"/>
      <c r="Q42" s="30"/>
      <c r="R42" s="30"/>
      <c r="S42" s="30"/>
    </row>
    <row r="43" spans="1:22" ht="15.75" customHeight="1">
      <c r="A43" s="734"/>
      <c r="B43" s="734"/>
      <c r="C43" s="734"/>
      <c r="D43" s="734"/>
      <c r="E43" s="748">
        <v>1</v>
      </c>
      <c r="F43" s="748"/>
      <c r="G43" s="748"/>
      <c r="H43" s="748"/>
      <c r="I43" s="748"/>
      <c r="J43" s="30"/>
      <c r="K43" s="30"/>
      <c r="L43" s="30"/>
      <c r="M43" s="30"/>
      <c r="N43" s="30"/>
      <c r="O43" s="30"/>
      <c r="P43" s="30"/>
      <c r="Q43" s="30"/>
      <c r="R43" s="30"/>
      <c r="S43" s="30"/>
    </row>
    <row r="44" spans="1:22" ht="15.75" customHeight="1">
      <c r="A44" s="734" t="s">
        <v>142</v>
      </c>
      <c r="B44" s="734"/>
      <c r="C44" s="734"/>
      <c r="D44" s="734"/>
      <c r="E44" s="749">
        <v>1</v>
      </c>
      <c r="F44" s="749"/>
      <c r="G44" s="749"/>
      <c r="H44" s="749"/>
      <c r="I44" s="749"/>
      <c r="J44" s="19"/>
      <c r="K44" s="19"/>
      <c r="L44" s="19"/>
      <c r="M44" s="19"/>
      <c r="N44" s="19"/>
      <c r="O44" s="19"/>
      <c r="P44" s="19"/>
      <c r="Q44" s="19"/>
      <c r="R44" s="20"/>
      <c r="S44" s="19"/>
    </row>
    <row r="45" spans="1:22" ht="15.75" customHeight="1">
      <c r="A45" s="734"/>
      <c r="B45" s="734"/>
      <c r="C45" s="734"/>
      <c r="D45" s="734"/>
      <c r="E45" s="750">
        <v>3</v>
      </c>
      <c r="F45" s="750"/>
      <c r="G45" s="750"/>
      <c r="H45" s="750"/>
      <c r="I45" s="750"/>
      <c r="J45" s="19"/>
      <c r="K45" s="19"/>
      <c r="L45" s="19"/>
      <c r="M45" s="19"/>
      <c r="N45" s="19"/>
      <c r="O45" s="19"/>
      <c r="P45" s="19"/>
      <c r="Q45" s="19"/>
      <c r="R45" s="20"/>
      <c r="S45" s="19"/>
    </row>
    <row r="46" spans="1:22" ht="15.6">
      <c r="A46" s="741" t="s">
        <v>641</v>
      </c>
      <c r="B46" s="742"/>
      <c r="C46" s="742"/>
      <c r="D46" s="742"/>
      <c r="E46" s="743">
        <v>1</v>
      </c>
      <c r="F46" s="742"/>
      <c r="G46" s="742"/>
      <c r="H46" s="742"/>
      <c r="I46" s="744"/>
      <c r="J46" s="19"/>
      <c r="K46" s="19"/>
      <c r="L46" s="19"/>
      <c r="M46" s="19"/>
      <c r="N46" s="19"/>
      <c r="O46" s="19"/>
      <c r="P46" s="19"/>
      <c r="Q46" s="19"/>
      <c r="R46" s="20"/>
      <c r="S46" s="19"/>
    </row>
    <row r="47" spans="1:22" ht="15.6">
      <c r="A47" s="308"/>
      <c r="B47" s="31"/>
      <c r="C47" s="31"/>
      <c r="D47" s="31"/>
      <c r="E47" s="31"/>
      <c r="F47" s="31"/>
      <c r="G47" s="31"/>
      <c r="H47" s="19"/>
      <c r="I47" s="19"/>
      <c r="J47" s="19"/>
      <c r="K47" s="19"/>
      <c r="L47" s="19"/>
      <c r="M47" s="19"/>
      <c r="N47" s="19"/>
      <c r="O47" s="19"/>
      <c r="P47" s="19"/>
      <c r="Q47" s="19"/>
      <c r="R47" s="20"/>
      <c r="S47" s="19"/>
    </row>
    <row r="48" spans="1:22" ht="15.6">
      <c r="A48" s="733" t="s">
        <v>155</v>
      </c>
      <c r="B48" s="733"/>
      <c r="C48" s="733"/>
      <c r="D48" s="733"/>
      <c r="E48" s="733"/>
      <c r="F48" s="733"/>
      <c r="G48" s="733"/>
      <c r="H48" s="733"/>
      <c r="I48" s="733"/>
      <c r="J48" s="733"/>
      <c r="K48" s="733"/>
      <c r="L48" s="733"/>
      <c r="M48" s="733"/>
      <c r="N48" s="19"/>
      <c r="O48" s="19"/>
      <c r="P48" s="19"/>
      <c r="Q48" s="19"/>
      <c r="R48" s="20"/>
      <c r="S48" s="19"/>
    </row>
    <row r="49" spans="1:30" ht="15.75" customHeight="1">
      <c r="A49" s="735" t="s">
        <v>642</v>
      </c>
      <c r="B49" s="735"/>
      <c r="C49" s="735"/>
      <c r="D49" s="735"/>
      <c r="E49" s="735"/>
      <c r="F49" s="732" t="s">
        <v>483</v>
      </c>
      <c r="G49" s="732"/>
      <c r="H49" s="732"/>
      <c r="I49" s="732"/>
      <c r="J49" s="732"/>
      <c r="K49" s="429">
        <f>E40</f>
        <v>200</v>
      </c>
      <c r="L49" s="732" t="s">
        <v>489</v>
      </c>
      <c r="M49" s="732"/>
      <c r="N49" s="31"/>
      <c r="O49" s="329"/>
      <c r="P49" s="329"/>
      <c r="Q49" s="329"/>
      <c r="R49" s="20"/>
      <c r="S49" s="19"/>
    </row>
    <row r="50" spans="1:30" ht="15.6">
      <c r="A50" s="735"/>
      <c r="B50" s="735"/>
      <c r="C50" s="735"/>
      <c r="D50" s="735"/>
      <c r="E50" s="735"/>
      <c r="F50" s="732" t="s">
        <v>484</v>
      </c>
      <c r="G50" s="732"/>
      <c r="H50" s="732"/>
      <c r="I50" s="732"/>
      <c r="J50" s="732"/>
      <c r="K50" s="429">
        <v>26</v>
      </c>
      <c r="L50" s="732" t="s">
        <v>490</v>
      </c>
      <c r="M50" s="732"/>
      <c r="R50" s="20"/>
      <c r="S50" s="19"/>
    </row>
    <row r="51" spans="1:30" ht="15.6">
      <c r="A51" s="735"/>
      <c r="B51" s="735"/>
      <c r="C51" s="735"/>
      <c r="D51" s="735"/>
      <c r="E51" s="735"/>
      <c r="F51" s="732" t="s">
        <v>485</v>
      </c>
      <c r="G51" s="732"/>
      <c r="H51" s="732"/>
      <c r="I51" s="732"/>
      <c r="J51" s="732"/>
      <c r="K51" s="429">
        <f>K49/K50</f>
        <v>7.6923076923076925</v>
      </c>
      <c r="L51" s="732" t="s">
        <v>491</v>
      </c>
      <c r="M51" s="732"/>
      <c r="R51" s="20"/>
      <c r="S51" s="19"/>
    </row>
    <row r="52" spans="1:30" ht="15.6">
      <c r="A52" s="735"/>
      <c r="B52" s="735"/>
      <c r="C52" s="735"/>
      <c r="D52" s="735"/>
      <c r="E52" s="735"/>
      <c r="F52" s="732" t="s">
        <v>486</v>
      </c>
      <c r="G52" s="732"/>
      <c r="H52" s="732"/>
      <c r="I52" s="732"/>
      <c r="J52" s="732"/>
      <c r="K52" s="429">
        <v>8</v>
      </c>
      <c r="L52" s="732" t="s">
        <v>492</v>
      </c>
      <c r="M52" s="732"/>
      <c r="R52" s="20"/>
      <c r="S52" s="19"/>
    </row>
    <row r="53" spans="1:30" ht="15.6">
      <c r="A53" s="735"/>
      <c r="B53" s="735"/>
      <c r="C53" s="735"/>
      <c r="D53" s="735"/>
      <c r="E53" s="735"/>
      <c r="F53" s="732" t="s">
        <v>487</v>
      </c>
      <c r="G53" s="732"/>
      <c r="H53" s="732"/>
      <c r="I53" s="732"/>
      <c r="J53" s="732"/>
      <c r="K53" s="429">
        <v>8</v>
      </c>
      <c r="L53" s="732" t="s">
        <v>492</v>
      </c>
      <c r="M53" s="732"/>
      <c r="R53" s="20"/>
      <c r="S53" s="19"/>
    </row>
    <row r="54" spans="1:30" ht="15" customHeight="1">
      <c r="A54" s="735"/>
      <c r="B54" s="735"/>
      <c r="C54" s="735"/>
      <c r="D54" s="735"/>
      <c r="E54" s="735"/>
      <c r="F54" s="732" t="s">
        <v>488</v>
      </c>
      <c r="G54" s="732"/>
      <c r="H54" s="732"/>
      <c r="I54" s="732"/>
      <c r="J54" s="732"/>
      <c r="K54" s="429">
        <f>K52/K53</f>
        <v>1</v>
      </c>
      <c r="L54" s="732" t="s">
        <v>264</v>
      </c>
      <c r="M54" s="732"/>
      <c r="R54" s="20"/>
      <c r="S54" s="19"/>
    </row>
    <row r="55" spans="1:30">
      <c r="A55" s="330"/>
      <c r="B55" s="38"/>
      <c r="J55" s="38"/>
      <c r="K55" s="38"/>
      <c r="L55" s="38"/>
      <c r="M55" s="38"/>
      <c r="N55" s="38"/>
      <c r="O55" s="329"/>
      <c r="P55" s="329"/>
      <c r="Q55" s="329"/>
      <c r="R55" s="20"/>
      <c r="S55" s="19"/>
    </row>
    <row r="56" spans="1:30" s="16" customFormat="1" ht="16.5" customHeight="1">
      <c r="A56" s="553" t="s">
        <v>589</v>
      </c>
      <c r="B56" s="553"/>
      <c r="C56" s="553"/>
      <c r="D56" s="553"/>
      <c r="E56" s="553"/>
      <c r="F56" s="553"/>
      <c r="G56" s="553"/>
      <c r="H56" s="553"/>
      <c r="I56" s="553"/>
      <c r="J56" s="553"/>
      <c r="K56" s="553"/>
      <c r="L56" s="553"/>
      <c r="M56" s="553"/>
      <c r="N56" s="553"/>
      <c r="O56" s="553"/>
      <c r="P56" s="553"/>
      <c r="Q56" s="553"/>
      <c r="R56" s="553"/>
      <c r="S56" s="553"/>
      <c r="T56" s="18"/>
      <c r="U56" s="18"/>
      <c r="V56" s="18"/>
      <c r="X56" s="17"/>
      <c r="Y56" s="17"/>
      <c r="AD56" s="17"/>
    </row>
    <row r="57" spans="1:30" s="16" customFormat="1" ht="15.6">
      <c r="A57" s="389" t="s">
        <v>546</v>
      </c>
      <c r="B57" s="390" t="s">
        <v>547</v>
      </c>
      <c r="C57" s="31"/>
      <c r="D57" s="31"/>
      <c r="E57" s="31"/>
      <c r="F57" s="31"/>
      <c r="G57" s="39"/>
      <c r="H57" s="19"/>
      <c r="I57" s="42"/>
      <c r="J57" s="19"/>
      <c r="K57" s="19"/>
      <c r="L57" s="19"/>
      <c r="M57" s="19"/>
      <c r="N57" s="19"/>
      <c r="O57" s="19"/>
      <c r="P57" s="19"/>
      <c r="Q57" s="19"/>
      <c r="R57" s="20"/>
      <c r="S57" s="19"/>
      <c r="T57" s="18"/>
      <c r="U57" s="18"/>
      <c r="V57" s="18"/>
    </row>
    <row r="58" spans="1:30" s="16" customFormat="1" ht="15.6">
      <c r="A58" s="400" t="str">
        <f>A31</f>
        <v>1.1</v>
      </c>
      <c r="B58" s="390" t="str">
        <f>B31</f>
        <v>Coletor diurno (inclusive reserva)</v>
      </c>
      <c r="C58" s="31"/>
      <c r="D58" s="31"/>
      <c r="E58" s="31"/>
      <c r="F58" s="31"/>
      <c r="G58" s="39"/>
      <c r="H58" s="19"/>
      <c r="I58" s="42"/>
      <c r="J58" s="19"/>
      <c r="K58" s="19"/>
      <c r="L58" s="19"/>
      <c r="M58" s="19"/>
      <c r="N58" s="19"/>
      <c r="O58" s="19"/>
      <c r="P58" s="19"/>
      <c r="Q58" s="19"/>
      <c r="R58" s="20"/>
      <c r="S58" s="19"/>
      <c r="T58" s="18"/>
      <c r="U58" s="18"/>
      <c r="V58" s="18"/>
    </row>
    <row r="59" spans="1:30" s="16" customFormat="1" ht="15.75" customHeight="1">
      <c r="A59" s="554" t="s">
        <v>569</v>
      </c>
      <c r="B59" s="554"/>
      <c r="C59" s="554"/>
      <c r="D59" s="554"/>
      <c r="E59" s="554"/>
      <c r="F59" s="554"/>
      <c r="G59" s="554"/>
      <c r="H59" s="554"/>
      <c r="I59" s="554"/>
      <c r="J59" s="555" t="s">
        <v>24</v>
      </c>
      <c r="K59" s="555"/>
      <c r="L59" s="555" t="s">
        <v>36</v>
      </c>
      <c r="M59" s="555"/>
      <c r="N59" s="555" t="s">
        <v>570</v>
      </c>
      <c r="O59" s="555"/>
      <c r="P59" s="555" t="s">
        <v>571</v>
      </c>
      <c r="Q59" s="555"/>
      <c r="R59" s="555" t="s">
        <v>572</v>
      </c>
      <c r="S59" s="555"/>
      <c r="T59" s="18"/>
      <c r="U59" s="18"/>
      <c r="V59" s="18"/>
    </row>
    <row r="60" spans="1:30" s="16" customFormat="1" ht="15.75" customHeight="1">
      <c r="A60" s="549" t="s">
        <v>568</v>
      </c>
      <c r="B60" s="549"/>
      <c r="C60" s="549"/>
      <c r="D60" s="549"/>
      <c r="E60" s="549"/>
      <c r="F60" s="549"/>
      <c r="G60" s="549"/>
      <c r="H60" s="549"/>
      <c r="I60" s="549"/>
      <c r="J60" s="550" t="s">
        <v>573</v>
      </c>
      <c r="K60" s="550"/>
      <c r="L60" s="550">
        <v>1</v>
      </c>
      <c r="M60" s="550"/>
      <c r="N60" s="551">
        <f>'BANCO DE DADOS'!E13</f>
        <v>1256.42</v>
      </c>
      <c r="O60" s="550"/>
      <c r="P60" s="551">
        <f>N60*L60</f>
        <v>1256.42</v>
      </c>
      <c r="Q60" s="550"/>
      <c r="R60" s="552"/>
      <c r="S60" s="552"/>
      <c r="T60" s="18"/>
      <c r="U60" s="18"/>
      <c r="V60" s="18"/>
    </row>
    <row r="61" spans="1:30" s="16" customFormat="1" ht="15.75" customHeight="1">
      <c r="A61" s="549" t="s">
        <v>68</v>
      </c>
      <c r="B61" s="549"/>
      <c r="C61" s="549"/>
      <c r="D61" s="549"/>
      <c r="E61" s="549"/>
      <c r="F61" s="549"/>
      <c r="G61" s="549"/>
      <c r="H61" s="549"/>
      <c r="I61" s="549"/>
      <c r="J61" s="550" t="s">
        <v>542</v>
      </c>
      <c r="K61" s="550"/>
      <c r="L61" s="576">
        <v>0.4</v>
      </c>
      <c r="M61" s="577"/>
      <c r="N61" s="551">
        <f>'BANCO DE DADOS'!E4</f>
        <v>1045</v>
      </c>
      <c r="O61" s="550"/>
      <c r="P61" s="551">
        <f>N61*L61</f>
        <v>418</v>
      </c>
      <c r="Q61" s="550"/>
      <c r="R61" s="552"/>
      <c r="S61" s="552"/>
      <c r="T61" s="18"/>
      <c r="U61" s="18"/>
      <c r="V61" s="18"/>
    </row>
    <row r="62" spans="1:30" s="16" customFormat="1" ht="15.75" customHeight="1">
      <c r="A62" s="751" t="s">
        <v>575</v>
      </c>
      <c r="B62" s="752"/>
      <c r="C62" s="752"/>
      <c r="D62" s="752"/>
      <c r="E62" s="752"/>
      <c r="F62" s="752"/>
      <c r="G62" s="752"/>
      <c r="H62" s="752"/>
      <c r="I62" s="753"/>
      <c r="J62" s="550" t="s">
        <v>576</v>
      </c>
      <c r="K62" s="550"/>
      <c r="L62" s="754">
        <f>$G$117</f>
        <v>16</v>
      </c>
      <c r="M62" s="754"/>
      <c r="N62" s="551">
        <f>(N60/220)*1.5</f>
        <v>8.5665000000000013</v>
      </c>
      <c r="O62" s="550"/>
      <c r="P62" s="551">
        <f>N62*L62</f>
        <v>137.06400000000002</v>
      </c>
      <c r="Q62" s="550"/>
      <c r="R62" s="552"/>
      <c r="S62" s="552"/>
      <c r="T62" s="18"/>
      <c r="U62" s="18"/>
      <c r="V62" s="18"/>
    </row>
    <row r="63" spans="1:30" s="16" customFormat="1" ht="15.75" customHeight="1">
      <c r="A63" s="751" t="s">
        <v>574</v>
      </c>
      <c r="B63" s="752"/>
      <c r="C63" s="752"/>
      <c r="D63" s="752"/>
      <c r="E63" s="752"/>
      <c r="F63" s="752"/>
      <c r="G63" s="752"/>
      <c r="H63" s="752"/>
      <c r="I63" s="753"/>
      <c r="J63" s="550" t="s">
        <v>576</v>
      </c>
      <c r="K63" s="550"/>
      <c r="L63" s="754">
        <f>$G$118</f>
        <v>10</v>
      </c>
      <c r="M63" s="754"/>
      <c r="N63" s="551">
        <f>N60/220*2</f>
        <v>11.422000000000001</v>
      </c>
      <c r="O63" s="550"/>
      <c r="P63" s="551">
        <f>N63*L63</f>
        <v>114.22</v>
      </c>
      <c r="Q63" s="550"/>
      <c r="R63" s="552"/>
      <c r="S63" s="552"/>
      <c r="T63" s="18"/>
      <c r="U63" s="18"/>
      <c r="V63" s="18"/>
    </row>
    <row r="64" spans="1:30" s="16" customFormat="1" ht="15.75" customHeight="1">
      <c r="A64" s="561" t="s">
        <v>571</v>
      </c>
      <c r="B64" s="562"/>
      <c r="C64" s="562"/>
      <c r="D64" s="562"/>
      <c r="E64" s="562"/>
      <c r="F64" s="562"/>
      <c r="G64" s="562"/>
      <c r="H64" s="562"/>
      <c r="I64" s="562"/>
      <c r="J64" s="562"/>
      <c r="K64" s="562"/>
      <c r="L64" s="562"/>
      <c r="M64" s="562"/>
      <c r="N64" s="562"/>
      <c r="O64" s="563"/>
      <c r="P64" s="560">
        <f>SUM(P60:Q63)</f>
        <v>1925.7040000000002</v>
      </c>
      <c r="Q64" s="555"/>
      <c r="R64" s="552"/>
      <c r="S64" s="552"/>
      <c r="T64" s="18"/>
      <c r="U64" s="18"/>
      <c r="V64" s="18"/>
    </row>
    <row r="65" spans="1:22" s="16" customFormat="1" ht="15.75" customHeight="1">
      <c r="A65" s="549" t="s">
        <v>1</v>
      </c>
      <c r="B65" s="549"/>
      <c r="C65" s="549"/>
      <c r="D65" s="549"/>
      <c r="E65" s="549"/>
      <c r="F65" s="549"/>
      <c r="G65" s="549"/>
      <c r="H65" s="549"/>
      <c r="I65" s="549"/>
      <c r="J65" s="550" t="s">
        <v>542</v>
      </c>
      <c r="K65" s="550"/>
      <c r="L65" s="564">
        <f>$G$119</f>
        <v>0.85355440000000016</v>
      </c>
      <c r="M65" s="564"/>
      <c r="N65" s="551">
        <f>P64</f>
        <v>1925.7040000000002</v>
      </c>
      <c r="O65" s="550"/>
      <c r="P65" s="551">
        <f>L65*N65</f>
        <v>1643.6931222976004</v>
      </c>
      <c r="Q65" s="550"/>
      <c r="R65" s="552"/>
      <c r="S65" s="552"/>
      <c r="T65" s="18"/>
      <c r="U65" s="18"/>
      <c r="V65" s="18"/>
    </row>
    <row r="66" spans="1:22" s="16" customFormat="1" ht="15.75" customHeight="1">
      <c r="A66" s="549" t="s">
        <v>586</v>
      </c>
      <c r="B66" s="549"/>
      <c r="C66" s="549"/>
      <c r="D66" s="549"/>
      <c r="E66" s="549"/>
      <c r="F66" s="549"/>
      <c r="G66" s="549"/>
      <c r="H66" s="549"/>
      <c r="I66" s="549"/>
      <c r="J66" s="550" t="s">
        <v>577</v>
      </c>
      <c r="K66" s="550"/>
      <c r="L66" s="576">
        <v>0.06</v>
      </c>
      <c r="M66" s="630"/>
      <c r="N66" s="551">
        <f>$I$120</f>
        <v>166.4</v>
      </c>
      <c r="O66" s="550"/>
      <c r="P66" s="551">
        <f>N66-N60*L66</f>
        <v>91.014800000000008</v>
      </c>
      <c r="Q66" s="550"/>
      <c r="R66" s="552"/>
      <c r="S66" s="552"/>
      <c r="T66" s="18"/>
      <c r="U66" s="18"/>
      <c r="V66" s="18"/>
    </row>
    <row r="67" spans="1:22" s="16" customFormat="1" ht="15.75" customHeight="1">
      <c r="A67" s="549" t="s">
        <v>588</v>
      </c>
      <c r="B67" s="549"/>
      <c r="C67" s="549"/>
      <c r="D67" s="549"/>
      <c r="E67" s="549"/>
      <c r="F67" s="549"/>
      <c r="G67" s="549"/>
      <c r="H67" s="549"/>
      <c r="I67" s="549"/>
      <c r="J67" s="550" t="s">
        <v>578</v>
      </c>
      <c r="K67" s="550"/>
      <c r="L67" s="550">
        <v>26</v>
      </c>
      <c r="M67" s="550"/>
      <c r="N67" s="551">
        <f>$G$124*0.9</f>
        <v>13.833</v>
      </c>
      <c r="O67" s="550"/>
      <c r="P67" s="551">
        <f t="shared" ref="P67:P73" si="0">N67*L67</f>
        <v>359.65800000000002</v>
      </c>
      <c r="Q67" s="550"/>
      <c r="R67" s="552"/>
      <c r="S67" s="552"/>
      <c r="T67" s="18"/>
      <c r="U67" s="18"/>
      <c r="V67" s="18"/>
    </row>
    <row r="68" spans="1:22" s="16" customFormat="1" ht="15.75" customHeight="1">
      <c r="A68" s="549" t="s">
        <v>4</v>
      </c>
      <c r="B68" s="549"/>
      <c r="C68" s="549"/>
      <c r="D68" s="549"/>
      <c r="E68" s="549"/>
      <c r="F68" s="549"/>
      <c r="G68" s="549"/>
      <c r="H68" s="549"/>
      <c r="I68" s="549"/>
      <c r="J68" s="550" t="s">
        <v>577</v>
      </c>
      <c r="K68" s="550"/>
      <c r="L68" s="550">
        <v>1</v>
      </c>
      <c r="M68" s="550"/>
      <c r="N68" s="551">
        <f>$G$122</f>
        <v>180.15</v>
      </c>
      <c r="O68" s="550"/>
      <c r="P68" s="551">
        <f t="shared" si="0"/>
        <v>180.15</v>
      </c>
      <c r="Q68" s="550"/>
      <c r="R68" s="552"/>
      <c r="S68" s="552"/>
      <c r="T68" s="18"/>
      <c r="U68" s="18"/>
      <c r="V68" s="18"/>
    </row>
    <row r="69" spans="1:22" s="16" customFormat="1" ht="15.75" customHeight="1">
      <c r="A69" s="549" t="s">
        <v>579</v>
      </c>
      <c r="B69" s="549"/>
      <c r="C69" s="549"/>
      <c r="D69" s="549"/>
      <c r="E69" s="549"/>
      <c r="F69" s="549"/>
      <c r="G69" s="549"/>
      <c r="H69" s="549"/>
      <c r="I69" s="549"/>
      <c r="J69" s="550" t="s">
        <v>577</v>
      </c>
      <c r="K69" s="550"/>
      <c r="L69" s="550">
        <v>1</v>
      </c>
      <c r="M69" s="550"/>
      <c r="N69" s="551">
        <f>(N68/12)*2</f>
        <v>30.025000000000002</v>
      </c>
      <c r="O69" s="550"/>
      <c r="P69" s="551">
        <f t="shared" si="0"/>
        <v>30.025000000000002</v>
      </c>
      <c r="Q69" s="550"/>
      <c r="R69" s="552"/>
      <c r="S69" s="552"/>
      <c r="T69" s="18"/>
      <c r="U69" s="18"/>
      <c r="V69" s="18"/>
    </row>
    <row r="70" spans="1:22" s="16" customFormat="1" ht="15.75" customHeight="1">
      <c r="A70" s="549" t="s">
        <v>580</v>
      </c>
      <c r="B70" s="549"/>
      <c r="C70" s="549"/>
      <c r="D70" s="549"/>
      <c r="E70" s="549"/>
      <c r="F70" s="549"/>
      <c r="G70" s="549"/>
      <c r="H70" s="549"/>
      <c r="I70" s="549"/>
      <c r="J70" s="550" t="s">
        <v>577</v>
      </c>
      <c r="K70" s="550"/>
      <c r="L70" s="550">
        <v>1</v>
      </c>
      <c r="M70" s="550"/>
      <c r="N70" s="551">
        <f>'BANCO DE DADOS'!$K$15</f>
        <v>37</v>
      </c>
      <c r="O70" s="550"/>
      <c r="P70" s="551">
        <f t="shared" si="0"/>
        <v>37</v>
      </c>
      <c r="Q70" s="550"/>
      <c r="R70" s="552"/>
      <c r="S70" s="552"/>
      <c r="T70" s="18"/>
      <c r="U70" s="18"/>
      <c r="V70" s="18"/>
    </row>
    <row r="71" spans="1:22" s="16" customFormat="1" ht="15.75" customHeight="1">
      <c r="A71" s="549" t="s">
        <v>244</v>
      </c>
      <c r="B71" s="549"/>
      <c r="C71" s="549"/>
      <c r="D71" s="549"/>
      <c r="E71" s="549"/>
      <c r="F71" s="549"/>
      <c r="G71" s="549"/>
      <c r="H71" s="549"/>
      <c r="I71" s="549"/>
      <c r="J71" s="550" t="s">
        <v>577</v>
      </c>
      <c r="K71" s="550"/>
      <c r="L71" s="550">
        <v>1</v>
      </c>
      <c r="M71" s="550"/>
      <c r="N71" s="551">
        <f>'BANCO DE DADOS'!$K$16</f>
        <v>12.91</v>
      </c>
      <c r="O71" s="550"/>
      <c r="P71" s="551">
        <f t="shared" si="0"/>
        <v>12.91</v>
      </c>
      <c r="Q71" s="550"/>
      <c r="R71" s="552"/>
      <c r="S71" s="552"/>
      <c r="T71" s="18"/>
      <c r="U71" s="18"/>
      <c r="V71" s="18"/>
    </row>
    <row r="72" spans="1:22" s="16" customFormat="1" ht="15.75" customHeight="1">
      <c r="A72" s="549" t="s">
        <v>581</v>
      </c>
      <c r="B72" s="549"/>
      <c r="C72" s="549"/>
      <c r="D72" s="549"/>
      <c r="E72" s="549"/>
      <c r="F72" s="549"/>
      <c r="G72" s="549"/>
      <c r="H72" s="549"/>
      <c r="I72" s="549"/>
      <c r="J72" s="550" t="s">
        <v>577</v>
      </c>
      <c r="K72" s="550"/>
      <c r="L72" s="550">
        <v>1</v>
      </c>
      <c r="M72" s="550"/>
      <c r="N72" s="551">
        <f>'BANCO DE DADOS'!$K$17</f>
        <v>32</v>
      </c>
      <c r="O72" s="550"/>
      <c r="P72" s="551">
        <f t="shared" si="0"/>
        <v>32</v>
      </c>
      <c r="Q72" s="550"/>
      <c r="R72" s="552"/>
      <c r="S72" s="552"/>
      <c r="T72" s="18"/>
      <c r="U72" s="18"/>
      <c r="V72" s="18"/>
    </row>
    <row r="73" spans="1:22" s="16" customFormat="1" ht="15.75" customHeight="1">
      <c r="A73" s="549" t="s">
        <v>582</v>
      </c>
      <c r="B73" s="549"/>
      <c r="C73" s="549"/>
      <c r="D73" s="549"/>
      <c r="E73" s="549"/>
      <c r="F73" s="549"/>
      <c r="G73" s="549"/>
      <c r="H73" s="549"/>
      <c r="I73" s="549"/>
      <c r="J73" s="550" t="s">
        <v>577</v>
      </c>
      <c r="K73" s="550"/>
      <c r="L73" s="550">
        <v>1</v>
      </c>
      <c r="M73" s="550"/>
      <c r="N73" s="551">
        <f>J136</f>
        <v>94.59</v>
      </c>
      <c r="O73" s="550"/>
      <c r="P73" s="551">
        <f t="shared" si="0"/>
        <v>94.59</v>
      </c>
      <c r="Q73" s="550"/>
      <c r="R73" s="552"/>
      <c r="S73" s="552"/>
      <c r="T73" s="18"/>
      <c r="U73" s="18"/>
      <c r="V73" s="18"/>
    </row>
    <row r="74" spans="1:22" s="16" customFormat="1" ht="15.75" customHeight="1">
      <c r="A74" s="561" t="s">
        <v>583</v>
      </c>
      <c r="B74" s="562"/>
      <c r="C74" s="562"/>
      <c r="D74" s="562"/>
      <c r="E74" s="562"/>
      <c r="F74" s="562"/>
      <c r="G74" s="562"/>
      <c r="H74" s="562"/>
      <c r="I74" s="562"/>
      <c r="J74" s="562"/>
      <c r="K74" s="562"/>
      <c r="L74" s="562"/>
      <c r="M74" s="562"/>
      <c r="N74" s="562"/>
      <c r="O74" s="563"/>
      <c r="P74" s="560">
        <f>SUM(P64:Q73)</f>
        <v>4406.7449222976002</v>
      </c>
      <c r="Q74" s="555"/>
      <c r="R74" s="565"/>
      <c r="S74" s="565"/>
      <c r="T74" s="18"/>
      <c r="U74" s="18"/>
      <c r="V74" s="18"/>
    </row>
    <row r="75" spans="1:22" s="16" customFormat="1" ht="15.75" customHeight="1">
      <c r="A75" s="549" t="s">
        <v>584</v>
      </c>
      <c r="B75" s="549"/>
      <c r="C75" s="549"/>
      <c r="D75" s="549"/>
      <c r="E75" s="549"/>
      <c r="F75" s="549"/>
      <c r="G75" s="549"/>
      <c r="H75" s="549"/>
      <c r="I75" s="549"/>
      <c r="J75" s="550" t="s">
        <v>585</v>
      </c>
      <c r="K75" s="550"/>
      <c r="L75" s="550">
        <v>4</v>
      </c>
      <c r="M75" s="550"/>
      <c r="N75" s="551">
        <f>P74</f>
        <v>4406.7449222976002</v>
      </c>
      <c r="O75" s="550"/>
      <c r="P75" s="551">
        <f>N75*L75</f>
        <v>17626.979689190401</v>
      </c>
      <c r="Q75" s="550"/>
      <c r="R75" s="552"/>
      <c r="S75" s="552"/>
      <c r="T75" s="18"/>
      <c r="U75" s="18"/>
      <c r="V75" s="18"/>
    </row>
    <row r="76" spans="1:22" s="16" customFormat="1" ht="15.75" customHeight="1">
      <c r="A76" s="556" t="s">
        <v>587</v>
      </c>
      <c r="B76" s="557"/>
      <c r="C76" s="557"/>
      <c r="D76" s="557"/>
      <c r="E76" s="557"/>
      <c r="F76" s="557"/>
      <c r="G76" s="557"/>
      <c r="H76" s="557"/>
      <c r="I76" s="557"/>
      <c r="J76" s="557"/>
      <c r="K76" s="557"/>
      <c r="L76" s="557"/>
      <c r="M76" s="557"/>
      <c r="N76" s="557"/>
      <c r="O76" s="558"/>
      <c r="P76" s="559">
        <v>1</v>
      </c>
      <c r="Q76" s="559"/>
      <c r="R76" s="560">
        <f>P75*P76</f>
        <v>17626.979689190401</v>
      </c>
      <c r="S76" s="555"/>
      <c r="T76" s="18"/>
      <c r="U76" s="18"/>
      <c r="V76" s="18"/>
    </row>
    <row r="77" spans="1:22" s="16" customFormat="1" ht="15.6">
      <c r="A77" s="400" t="str">
        <f>A32</f>
        <v>1.2</v>
      </c>
      <c r="B77" s="390" t="str">
        <f>B32</f>
        <v>Motorista diurno (inclusive reserva)</v>
      </c>
      <c r="C77" s="31"/>
      <c r="D77" s="31"/>
      <c r="E77" s="31"/>
      <c r="F77" s="31"/>
      <c r="G77" s="39"/>
      <c r="H77" s="19"/>
      <c r="I77" s="42"/>
      <c r="J77" s="19"/>
      <c r="K77" s="19"/>
      <c r="L77" s="19"/>
      <c r="M77" s="19"/>
      <c r="N77" s="19"/>
      <c r="O77" s="19"/>
      <c r="P77" s="19"/>
      <c r="Q77" s="19"/>
      <c r="R77" s="20"/>
      <c r="S77" s="19"/>
      <c r="T77" s="18"/>
      <c r="U77" s="18"/>
      <c r="V77" s="18"/>
    </row>
    <row r="78" spans="1:22" s="16" customFormat="1" ht="15.75" customHeight="1">
      <c r="A78" s="554" t="s">
        <v>569</v>
      </c>
      <c r="B78" s="554"/>
      <c r="C78" s="554"/>
      <c r="D78" s="554"/>
      <c r="E78" s="554"/>
      <c r="F78" s="554"/>
      <c r="G78" s="554"/>
      <c r="H78" s="554"/>
      <c r="I78" s="554"/>
      <c r="J78" s="555" t="s">
        <v>24</v>
      </c>
      <c r="K78" s="555"/>
      <c r="L78" s="555" t="s">
        <v>36</v>
      </c>
      <c r="M78" s="555"/>
      <c r="N78" s="555" t="s">
        <v>570</v>
      </c>
      <c r="O78" s="555"/>
      <c r="P78" s="555" t="s">
        <v>571</v>
      </c>
      <c r="Q78" s="555"/>
      <c r="R78" s="555" t="s">
        <v>572</v>
      </c>
      <c r="S78" s="555"/>
      <c r="T78" s="18"/>
      <c r="U78" s="18"/>
      <c r="V78" s="18"/>
    </row>
    <row r="79" spans="1:22" s="16" customFormat="1" ht="15.75" customHeight="1">
      <c r="A79" s="549" t="s">
        <v>568</v>
      </c>
      <c r="B79" s="549"/>
      <c r="C79" s="549"/>
      <c r="D79" s="549"/>
      <c r="E79" s="549"/>
      <c r="F79" s="549"/>
      <c r="G79" s="549"/>
      <c r="H79" s="549"/>
      <c r="I79" s="549"/>
      <c r="J79" s="550" t="s">
        <v>573</v>
      </c>
      <c r="K79" s="550"/>
      <c r="L79" s="550">
        <v>1</v>
      </c>
      <c r="M79" s="550"/>
      <c r="N79" s="551">
        <f>'BANCO DE DADOS'!E16</f>
        <v>1658.91</v>
      </c>
      <c r="O79" s="550"/>
      <c r="P79" s="551">
        <f>N79*L79</f>
        <v>1658.91</v>
      </c>
      <c r="Q79" s="550"/>
      <c r="R79" s="552"/>
      <c r="S79" s="552"/>
      <c r="T79" s="18"/>
      <c r="U79" s="18"/>
      <c r="V79" s="18"/>
    </row>
    <row r="80" spans="1:22" s="16" customFormat="1" ht="15.75" customHeight="1">
      <c r="A80" s="549" t="s">
        <v>68</v>
      </c>
      <c r="B80" s="549"/>
      <c r="C80" s="549"/>
      <c r="D80" s="549"/>
      <c r="E80" s="549"/>
      <c r="F80" s="549"/>
      <c r="G80" s="549"/>
      <c r="H80" s="549"/>
      <c r="I80" s="549"/>
      <c r="J80" s="550" t="s">
        <v>542</v>
      </c>
      <c r="K80" s="550"/>
      <c r="L80" s="576">
        <v>0.4</v>
      </c>
      <c r="M80" s="577"/>
      <c r="N80" s="551">
        <f>G116</f>
        <v>1045</v>
      </c>
      <c r="O80" s="550"/>
      <c r="P80" s="551">
        <f>N80*L80</f>
        <v>418</v>
      </c>
      <c r="Q80" s="550"/>
      <c r="R80" s="552"/>
      <c r="S80" s="552"/>
      <c r="T80" s="18"/>
      <c r="U80" s="18"/>
      <c r="V80" s="18"/>
    </row>
    <row r="81" spans="1:22" s="16" customFormat="1" ht="15.75" customHeight="1">
      <c r="A81" s="751" t="s">
        <v>575</v>
      </c>
      <c r="B81" s="752"/>
      <c r="C81" s="752"/>
      <c r="D81" s="752"/>
      <c r="E81" s="752"/>
      <c r="F81" s="752"/>
      <c r="G81" s="752"/>
      <c r="H81" s="752"/>
      <c r="I81" s="753"/>
      <c r="J81" s="550" t="s">
        <v>576</v>
      </c>
      <c r="K81" s="550"/>
      <c r="L81" s="754">
        <f>$G$117</f>
        <v>16</v>
      </c>
      <c r="M81" s="754"/>
      <c r="N81" s="551">
        <f>(N79/220)*1.5</f>
        <v>11.310750000000001</v>
      </c>
      <c r="O81" s="550"/>
      <c r="P81" s="551">
        <f>N81*L81</f>
        <v>180.97200000000001</v>
      </c>
      <c r="Q81" s="550"/>
      <c r="R81" s="552"/>
      <c r="S81" s="552"/>
      <c r="T81" s="18"/>
      <c r="U81" s="18"/>
      <c r="V81" s="18"/>
    </row>
    <row r="82" spans="1:22" s="16" customFormat="1" ht="15.75" customHeight="1">
      <c r="A82" s="751" t="s">
        <v>574</v>
      </c>
      <c r="B82" s="752"/>
      <c r="C82" s="752"/>
      <c r="D82" s="752"/>
      <c r="E82" s="752"/>
      <c r="F82" s="752"/>
      <c r="G82" s="752"/>
      <c r="H82" s="752"/>
      <c r="I82" s="753"/>
      <c r="J82" s="550" t="s">
        <v>576</v>
      </c>
      <c r="K82" s="550"/>
      <c r="L82" s="754">
        <f>$G$118</f>
        <v>10</v>
      </c>
      <c r="M82" s="754"/>
      <c r="N82" s="551">
        <f>N79/220*2</f>
        <v>15.081000000000001</v>
      </c>
      <c r="O82" s="550"/>
      <c r="P82" s="551">
        <f>N82*L82</f>
        <v>150.81</v>
      </c>
      <c r="Q82" s="550"/>
      <c r="R82" s="552"/>
      <c r="S82" s="552"/>
      <c r="T82" s="18"/>
      <c r="U82" s="18"/>
      <c r="V82" s="18"/>
    </row>
    <row r="83" spans="1:22" s="16" customFormat="1" ht="15.75" customHeight="1">
      <c r="A83" s="561" t="s">
        <v>571</v>
      </c>
      <c r="B83" s="562"/>
      <c r="C83" s="562"/>
      <c r="D83" s="562"/>
      <c r="E83" s="562"/>
      <c r="F83" s="562"/>
      <c r="G83" s="562"/>
      <c r="H83" s="562"/>
      <c r="I83" s="562"/>
      <c r="J83" s="562"/>
      <c r="K83" s="562"/>
      <c r="L83" s="562"/>
      <c r="M83" s="562"/>
      <c r="N83" s="562"/>
      <c r="O83" s="563"/>
      <c r="P83" s="560">
        <f>SUM(P79:Q82)</f>
        <v>2408.692</v>
      </c>
      <c r="Q83" s="555"/>
      <c r="R83" s="552"/>
      <c r="S83" s="552"/>
      <c r="T83" s="18"/>
      <c r="U83" s="18"/>
      <c r="V83" s="18"/>
    </row>
    <row r="84" spans="1:22" s="16" customFormat="1" ht="15.75" customHeight="1">
      <c r="A84" s="549" t="s">
        <v>1</v>
      </c>
      <c r="B84" s="549"/>
      <c r="C84" s="549"/>
      <c r="D84" s="549"/>
      <c r="E84" s="549"/>
      <c r="F84" s="549"/>
      <c r="G84" s="549"/>
      <c r="H84" s="549"/>
      <c r="I84" s="549"/>
      <c r="J84" s="550" t="s">
        <v>542</v>
      </c>
      <c r="K84" s="550"/>
      <c r="L84" s="564">
        <f>$G$119</f>
        <v>0.85355440000000016</v>
      </c>
      <c r="M84" s="564"/>
      <c r="N84" s="551">
        <f>P83</f>
        <v>2408.692</v>
      </c>
      <c r="O84" s="550"/>
      <c r="P84" s="551">
        <f>L84*N84</f>
        <v>2055.9496548448005</v>
      </c>
      <c r="Q84" s="550"/>
      <c r="R84" s="552"/>
      <c r="S84" s="552"/>
      <c r="T84" s="18"/>
      <c r="U84" s="18"/>
      <c r="V84" s="18"/>
    </row>
    <row r="85" spans="1:22" s="16" customFormat="1" ht="15.75" customHeight="1">
      <c r="A85" s="549" t="s">
        <v>586</v>
      </c>
      <c r="B85" s="549"/>
      <c r="C85" s="549"/>
      <c r="D85" s="549"/>
      <c r="E85" s="549"/>
      <c r="F85" s="549"/>
      <c r="G85" s="549"/>
      <c r="H85" s="549"/>
      <c r="I85" s="549"/>
      <c r="J85" s="550" t="s">
        <v>577</v>
      </c>
      <c r="K85" s="550"/>
      <c r="L85" s="576">
        <v>0.06</v>
      </c>
      <c r="M85" s="630"/>
      <c r="N85" s="551">
        <f>$I$120</f>
        <v>166.4</v>
      </c>
      <c r="O85" s="550"/>
      <c r="P85" s="551">
        <f>N85-N79*L85</f>
        <v>66.865400000000008</v>
      </c>
      <c r="Q85" s="550"/>
      <c r="R85" s="552"/>
      <c r="S85" s="552"/>
      <c r="T85" s="18"/>
      <c r="U85" s="18"/>
      <c r="V85" s="18"/>
    </row>
    <row r="86" spans="1:22" s="16" customFormat="1" ht="15.75" customHeight="1">
      <c r="A86" s="549" t="s">
        <v>588</v>
      </c>
      <c r="B86" s="549"/>
      <c r="C86" s="549"/>
      <c r="D86" s="549"/>
      <c r="E86" s="549"/>
      <c r="F86" s="549"/>
      <c r="G86" s="549"/>
      <c r="H86" s="549"/>
      <c r="I86" s="549"/>
      <c r="J86" s="550" t="s">
        <v>578</v>
      </c>
      <c r="K86" s="550"/>
      <c r="L86" s="550">
        <v>26</v>
      </c>
      <c r="M86" s="550"/>
      <c r="N86" s="551">
        <f>$G$124*0.9</f>
        <v>13.833</v>
      </c>
      <c r="O86" s="550"/>
      <c r="P86" s="551">
        <f t="shared" ref="P86:P92" si="1">N86*L86</f>
        <v>359.65800000000002</v>
      </c>
      <c r="Q86" s="550"/>
      <c r="R86" s="552"/>
      <c r="S86" s="552"/>
      <c r="T86" s="18"/>
      <c r="U86" s="18"/>
      <c r="V86" s="18"/>
    </row>
    <row r="87" spans="1:22" s="16" customFormat="1" ht="15.75" customHeight="1">
      <c r="A87" s="549" t="s">
        <v>4</v>
      </c>
      <c r="B87" s="549"/>
      <c r="C87" s="549"/>
      <c r="D87" s="549"/>
      <c r="E87" s="549"/>
      <c r="F87" s="549"/>
      <c r="G87" s="549"/>
      <c r="H87" s="549"/>
      <c r="I87" s="549"/>
      <c r="J87" s="550" t="s">
        <v>577</v>
      </c>
      <c r="K87" s="550"/>
      <c r="L87" s="550">
        <v>1</v>
      </c>
      <c r="M87" s="550"/>
      <c r="N87" s="551">
        <f>G123</f>
        <v>171.52</v>
      </c>
      <c r="O87" s="550"/>
      <c r="P87" s="551">
        <f t="shared" si="1"/>
        <v>171.52</v>
      </c>
      <c r="Q87" s="550"/>
      <c r="R87" s="552"/>
      <c r="S87" s="552"/>
      <c r="T87" s="18"/>
      <c r="U87" s="18"/>
      <c r="V87" s="18"/>
    </row>
    <row r="88" spans="1:22" s="16" customFormat="1" ht="15.75" customHeight="1">
      <c r="A88" s="549" t="s">
        <v>579</v>
      </c>
      <c r="B88" s="549"/>
      <c r="C88" s="549"/>
      <c r="D88" s="549"/>
      <c r="E88" s="549"/>
      <c r="F88" s="549"/>
      <c r="G88" s="549"/>
      <c r="H88" s="549"/>
      <c r="I88" s="549"/>
      <c r="J88" s="550" t="s">
        <v>577</v>
      </c>
      <c r="K88" s="550"/>
      <c r="L88" s="550">
        <v>1</v>
      </c>
      <c r="M88" s="550"/>
      <c r="N88" s="551">
        <f>(N87/12)*2</f>
        <v>28.58666666666667</v>
      </c>
      <c r="O88" s="550"/>
      <c r="P88" s="551">
        <f t="shared" si="1"/>
        <v>28.58666666666667</v>
      </c>
      <c r="Q88" s="550"/>
      <c r="R88" s="552"/>
      <c r="S88" s="552"/>
      <c r="T88" s="18"/>
      <c r="U88" s="18"/>
      <c r="V88" s="18"/>
    </row>
    <row r="89" spans="1:22" s="16" customFormat="1" ht="15.75" customHeight="1">
      <c r="A89" s="549" t="s">
        <v>580</v>
      </c>
      <c r="B89" s="549"/>
      <c r="C89" s="549"/>
      <c r="D89" s="549"/>
      <c r="E89" s="549"/>
      <c r="F89" s="549"/>
      <c r="G89" s="549"/>
      <c r="H89" s="549"/>
      <c r="I89" s="549"/>
      <c r="J89" s="550" t="s">
        <v>577</v>
      </c>
      <c r="K89" s="550"/>
      <c r="L89" s="550">
        <v>1</v>
      </c>
      <c r="M89" s="550"/>
      <c r="N89" s="551">
        <f>'BANCO DE DADOS'!$K$15</f>
        <v>37</v>
      </c>
      <c r="O89" s="550"/>
      <c r="P89" s="551">
        <f t="shared" si="1"/>
        <v>37</v>
      </c>
      <c r="Q89" s="550"/>
      <c r="R89" s="552"/>
      <c r="S89" s="552"/>
      <c r="T89" s="18"/>
      <c r="U89" s="18"/>
      <c r="V89" s="18"/>
    </row>
    <row r="90" spans="1:22" s="16" customFormat="1" ht="15.75" customHeight="1">
      <c r="A90" s="549" t="s">
        <v>244</v>
      </c>
      <c r="B90" s="549"/>
      <c r="C90" s="549"/>
      <c r="D90" s="549"/>
      <c r="E90" s="549"/>
      <c r="F90" s="549"/>
      <c r="G90" s="549"/>
      <c r="H90" s="549"/>
      <c r="I90" s="549"/>
      <c r="J90" s="550" t="s">
        <v>577</v>
      </c>
      <c r="K90" s="550"/>
      <c r="L90" s="550">
        <v>1</v>
      </c>
      <c r="M90" s="550"/>
      <c r="N90" s="551">
        <f>'BANCO DE DADOS'!$K$16</f>
        <v>12.91</v>
      </c>
      <c r="O90" s="550"/>
      <c r="P90" s="551">
        <f t="shared" si="1"/>
        <v>12.91</v>
      </c>
      <c r="Q90" s="550"/>
      <c r="R90" s="552"/>
      <c r="S90" s="552"/>
      <c r="T90" s="18"/>
      <c r="U90" s="18"/>
      <c r="V90" s="18"/>
    </row>
    <row r="91" spans="1:22" s="16" customFormat="1" ht="15.75" customHeight="1">
      <c r="A91" s="549" t="s">
        <v>581</v>
      </c>
      <c r="B91" s="549"/>
      <c r="C91" s="549"/>
      <c r="D91" s="549"/>
      <c r="E91" s="549"/>
      <c r="F91" s="549"/>
      <c r="G91" s="549"/>
      <c r="H91" s="549"/>
      <c r="I91" s="549"/>
      <c r="J91" s="550" t="s">
        <v>577</v>
      </c>
      <c r="K91" s="550"/>
      <c r="L91" s="550">
        <v>1</v>
      </c>
      <c r="M91" s="550"/>
      <c r="N91" s="551">
        <f>'BANCO DE DADOS'!$K$17</f>
        <v>32</v>
      </c>
      <c r="O91" s="550"/>
      <c r="P91" s="551">
        <f t="shared" si="1"/>
        <v>32</v>
      </c>
      <c r="Q91" s="550"/>
      <c r="R91" s="552"/>
      <c r="S91" s="552"/>
      <c r="T91" s="18"/>
      <c r="U91" s="18"/>
      <c r="V91" s="18"/>
    </row>
    <row r="92" spans="1:22" s="16" customFormat="1" ht="15.75" customHeight="1">
      <c r="A92" s="549" t="s">
        <v>582</v>
      </c>
      <c r="B92" s="549"/>
      <c r="C92" s="549"/>
      <c r="D92" s="549"/>
      <c r="E92" s="549"/>
      <c r="F92" s="549"/>
      <c r="G92" s="549"/>
      <c r="H92" s="549"/>
      <c r="I92" s="549"/>
      <c r="J92" s="550" t="s">
        <v>577</v>
      </c>
      <c r="K92" s="550"/>
      <c r="L92" s="550">
        <v>1</v>
      </c>
      <c r="M92" s="550"/>
      <c r="N92" s="551">
        <f>M136</f>
        <v>54.02</v>
      </c>
      <c r="O92" s="550"/>
      <c r="P92" s="551">
        <f t="shared" si="1"/>
        <v>54.02</v>
      </c>
      <c r="Q92" s="550"/>
      <c r="R92" s="552"/>
      <c r="S92" s="552"/>
      <c r="T92" s="18"/>
      <c r="U92" s="18"/>
      <c r="V92" s="18"/>
    </row>
    <row r="93" spans="1:22" s="16" customFormat="1" ht="15.75" customHeight="1">
      <c r="A93" s="561" t="s">
        <v>583</v>
      </c>
      <c r="B93" s="562"/>
      <c r="C93" s="562"/>
      <c r="D93" s="562"/>
      <c r="E93" s="562"/>
      <c r="F93" s="562"/>
      <c r="G93" s="562"/>
      <c r="H93" s="562"/>
      <c r="I93" s="562"/>
      <c r="J93" s="562"/>
      <c r="K93" s="562"/>
      <c r="L93" s="562"/>
      <c r="M93" s="562"/>
      <c r="N93" s="562"/>
      <c r="O93" s="563"/>
      <c r="P93" s="560">
        <f>SUM(P83:Q92)</f>
        <v>5227.2017215114683</v>
      </c>
      <c r="Q93" s="555"/>
      <c r="R93" s="565"/>
      <c r="S93" s="565"/>
      <c r="T93" s="18"/>
      <c r="U93" s="18"/>
      <c r="V93" s="18"/>
    </row>
    <row r="94" spans="1:22" s="16" customFormat="1" ht="15.75" customHeight="1">
      <c r="A94" s="549" t="s">
        <v>584</v>
      </c>
      <c r="B94" s="549"/>
      <c r="C94" s="549"/>
      <c r="D94" s="549"/>
      <c r="E94" s="549"/>
      <c r="F94" s="549"/>
      <c r="G94" s="549"/>
      <c r="H94" s="549"/>
      <c r="I94" s="549"/>
      <c r="J94" s="550" t="s">
        <v>585</v>
      </c>
      <c r="K94" s="550"/>
      <c r="L94" s="550">
        <v>2</v>
      </c>
      <c r="M94" s="550"/>
      <c r="N94" s="551">
        <f>P93</f>
        <v>5227.2017215114683</v>
      </c>
      <c r="O94" s="550"/>
      <c r="P94" s="551">
        <f>N94*L94</f>
        <v>10454.403443022937</v>
      </c>
      <c r="Q94" s="550"/>
      <c r="R94" s="552"/>
      <c r="S94" s="552"/>
      <c r="T94" s="18"/>
      <c r="U94" s="18"/>
      <c r="V94" s="18"/>
    </row>
    <row r="95" spans="1:22" s="16" customFormat="1" ht="15.75" customHeight="1">
      <c r="A95" s="556" t="s">
        <v>587</v>
      </c>
      <c r="B95" s="557"/>
      <c r="C95" s="557"/>
      <c r="D95" s="557"/>
      <c r="E95" s="557"/>
      <c r="F95" s="557"/>
      <c r="G95" s="557"/>
      <c r="H95" s="557"/>
      <c r="I95" s="557"/>
      <c r="J95" s="557"/>
      <c r="K95" s="557"/>
      <c r="L95" s="557"/>
      <c r="M95" s="557"/>
      <c r="N95" s="557"/>
      <c r="O95" s="558"/>
      <c r="P95" s="559">
        <v>1</v>
      </c>
      <c r="Q95" s="559"/>
      <c r="R95" s="560">
        <f>P94*P95</f>
        <v>10454.403443022937</v>
      </c>
      <c r="S95" s="555"/>
      <c r="T95" s="18"/>
      <c r="U95" s="18"/>
      <c r="V95" s="18"/>
    </row>
    <row r="96" spans="1:22" s="16" customFormat="1" ht="15.6">
      <c r="A96" s="400" t="str">
        <f>A33</f>
        <v>1.3</v>
      </c>
      <c r="B96" s="400" t="str">
        <f>B33</f>
        <v>Encarregado</v>
      </c>
      <c r="C96" s="31"/>
      <c r="D96" s="31"/>
      <c r="E96" s="31"/>
      <c r="F96" s="31"/>
      <c r="G96" s="39"/>
      <c r="H96" s="19"/>
      <c r="I96" s="42"/>
      <c r="J96" s="19"/>
      <c r="K96" s="19"/>
      <c r="L96" s="19"/>
      <c r="M96" s="19"/>
      <c r="N96" s="19"/>
      <c r="O96" s="19"/>
      <c r="P96" s="19"/>
      <c r="Q96" s="19"/>
      <c r="R96" s="20"/>
      <c r="S96" s="19"/>
      <c r="T96" s="18"/>
      <c r="U96" s="18"/>
      <c r="V96" s="18"/>
    </row>
    <row r="97" spans="1:22" s="16" customFormat="1" ht="15.75" customHeight="1">
      <c r="A97" s="554" t="s">
        <v>569</v>
      </c>
      <c r="B97" s="554"/>
      <c r="C97" s="554"/>
      <c r="D97" s="554"/>
      <c r="E97" s="554"/>
      <c r="F97" s="554"/>
      <c r="G97" s="554"/>
      <c r="H97" s="554"/>
      <c r="I97" s="554"/>
      <c r="J97" s="555" t="s">
        <v>24</v>
      </c>
      <c r="K97" s="555"/>
      <c r="L97" s="555" t="s">
        <v>36</v>
      </c>
      <c r="M97" s="555"/>
      <c r="N97" s="555" t="s">
        <v>570</v>
      </c>
      <c r="O97" s="555"/>
      <c r="P97" s="555" t="s">
        <v>571</v>
      </c>
      <c r="Q97" s="555"/>
      <c r="R97" s="555" t="s">
        <v>572</v>
      </c>
      <c r="S97" s="555"/>
      <c r="T97" s="18"/>
      <c r="U97" s="18"/>
      <c r="V97" s="18"/>
    </row>
    <row r="98" spans="1:22" s="16" customFormat="1" ht="15.75" customHeight="1">
      <c r="A98" s="549" t="s">
        <v>568</v>
      </c>
      <c r="B98" s="549"/>
      <c r="C98" s="549"/>
      <c r="D98" s="549"/>
      <c r="E98" s="549"/>
      <c r="F98" s="549"/>
      <c r="G98" s="549"/>
      <c r="H98" s="549"/>
      <c r="I98" s="549"/>
      <c r="J98" s="550" t="s">
        <v>573</v>
      </c>
      <c r="K98" s="550"/>
      <c r="L98" s="550">
        <v>1</v>
      </c>
      <c r="M98" s="550"/>
      <c r="N98" s="551">
        <v>2000</v>
      </c>
      <c r="O98" s="550"/>
      <c r="P98" s="551">
        <f>N98*L98</f>
        <v>2000</v>
      </c>
      <c r="Q98" s="550"/>
      <c r="R98" s="552"/>
      <c r="S98" s="552"/>
      <c r="T98" s="18"/>
      <c r="U98" s="18"/>
      <c r="V98" s="18"/>
    </row>
    <row r="99" spans="1:22" s="16" customFormat="1" ht="15.75" customHeight="1">
      <c r="A99" s="751" t="s">
        <v>575</v>
      </c>
      <c r="B99" s="752"/>
      <c r="C99" s="752"/>
      <c r="D99" s="752"/>
      <c r="E99" s="752"/>
      <c r="F99" s="752"/>
      <c r="G99" s="752"/>
      <c r="H99" s="752"/>
      <c r="I99" s="753"/>
      <c r="J99" s="550" t="s">
        <v>576</v>
      </c>
      <c r="K99" s="550"/>
      <c r="L99" s="754">
        <f>$G$117</f>
        <v>16</v>
      </c>
      <c r="M99" s="754"/>
      <c r="N99" s="551">
        <f>(N98/220)*1.5</f>
        <v>13.636363636363637</v>
      </c>
      <c r="O99" s="550"/>
      <c r="P99" s="551">
        <f>N99*L99</f>
        <v>218.18181818181819</v>
      </c>
      <c r="Q99" s="550"/>
      <c r="R99" s="552"/>
      <c r="S99" s="552"/>
      <c r="T99" s="18"/>
      <c r="U99" s="18"/>
      <c r="V99" s="18"/>
    </row>
    <row r="100" spans="1:22" s="16" customFormat="1" ht="15.75" customHeight="1">
      <c r="A100" s="751" t="s">
        <v>574</v>
      </c>
      <c r="B100" s="752"/>
      <c r="C100" s="752"/>
      <c r="D100" s="752"/>
      <c r="E100" s="752"/>
      <c r="F100" s="752"/>
      <c r="G100" s="752"/>
      <c r="H100" s="752"/>
      <c r="I100" s="753"/>
      <c r="J100" s="550" t="s">
        <v>576</v>
      </c>
      <c r="K100" s="550"/>
      <c r="L100" s="754">
        <f>$G$118</f>
        <v>10</v>
      </c>
      <c r="M100" s="754"/>
      <c r="N100" s="551">
        <f>N98/220*2</f>
        <v>18.181818181818183</v>
      </c>
      <c r="O100" s="550"/>
      <c r="P100" s="551">
        <f>N100*L100</f>
        <v>181.81818181818184</v>
      </c>
      <c r="Q100" s="550"/>
      <c r="R100" s="552"/>
      <c r="S100" s="552"/>
      <c r="T100" s="18"/>
      <c r="U100" s="18"/>
      <c r="V100" s="18"/>
    </row>
    <row r="101" spans="1:22" s="16" customFormat="1" ht="15.75" customHeight="1">
      <c r="A101" s="561" t="s">
        <v>571</v>
      </c>
      <c r="B101" s="562"/>
      <c r="C101" s="562"/>
      <c r="D101" s="562"/>
      <c r="E101" s="562"/>
      <c r="F101" s="562"/>
      <c r="G101" s="562"/>
      <c r="H101" s="562"/>
      <c r="I101" s="562"/>
      <c r="J101" s="562"/>
      <c r="K101" s="562"/>
      <c r="L101" s="562"/>
      <c r="M101" s="562"/>
      <c r="N101" s="562"/>
      <c r="O101" s="563"/>
      <c r="P101" s="560">
        <f>SUM(P98:Q100)</f>
        <v>2400</v>
      </c>
      <c r="Q101" s="555"/>
      <c r="R101" s="552"/>
      <c r="S101" s="552"/>
      <c r="T101" s="18"/>
      <c r="U101" s="18"/>
      <c r="V101" s="18"/>
    </row>
    <row r="102" spans="1:22" s="16" customFormat="1" ht="15.75" customHeight="1">
      <c r="A102" s="549" t="s">
        <v>1</v>
      </c>
      <c r="B102" s="549"/>
      <c r="C102" s="549"/>
      <c r="D102" s="549"/>
      <c r="E102" s="549"/>
      <c r="F102" s="549"/>
      <c r="G102" s="549"/>
      <c r="H102" s="549"/>
      <c r="I102" s="549"/>
      <c r="J102" s="550" t="s">
        <v>542</v>
      </c>
      <c r="K102" s="550"/>
      <c r="L102" s="564">
        <f>$G$119</f>
        <v>0.85355440000000016</v>
      </c>
      <c r="M102" s="564"/>
      <c r="N102" s="551">
        <f>P101</f>
        <v>2400</v>
      </c>
      <c r="O102" s="550"/>
      <c r="P102" s="551">
        <f>L102*N102</f>
        <v>2048.5305600000002</v>
      </c>
      <c r="Q102" s="550"/>
      <c r="R102" s="552"/>
      <c r="S102" s="552"/>
      <c r="T102" s="18"/>
      <c r="U102" s="18"/>
      <c r="V102" s="18"/>
    </row>
    <row r="103" spans="1:22" s="16" customFormat="1" ht="15.75" customHeight="1">
      <c r="A103" s="549" t="s">
        <v>588</v>
      </c>
      <c r="B103" s="549"/>
      <c r="C103" s="549"/>
      <c r="D103" s="549"/>
      <c r="E103" s="549"/>
      <c r="F103" s="549"/>
      <c r="G103" s="549"/>
      <c r="H103" s="549"/>
      <c r="I103" s="549"/>
      <c r="J103" s="550" t="s">
        <v>578</v>
      </c>
      <c r="K103" s="550"/>
      <c r="L103" s="550">
        <v>26</v>
      </c>
      <c r="M103" s="550"/>
      <c r="N103" s="551">
        <f>$G$124*0.9</f>
        <v>13.833</v>
      </c>
      <c r="O103" s="550"/>
      <c r="P103" s="551">
        <f t="shared" ref="P103:P109" si="2">N103*L103</f>
        <v>359.65800000000002</v>
      </c>
      <c r="Q103" s="550"/>
      <c r="R103" s="552"/>
      <c r="S103" s="552"/>
      <c r="T103" s="18"/>
      <c r="U103" s="18"/>
      <c r="V103" s="18"/>
    </row>
    <row r="104" spans="1:22" s="16" customFormat="1" ht="15.75" customHeight="1">
      <c r="A104" s="549" t="s">
        <v>4</v>
      </c>
      <c r="B104" s="549"/>
      <c r="C104" s="549"/>
      <c r="D104" s="549"/>
      <c r="E104" s="549"/>
      <c r="F104" s="549"/>
      <c r="G104" s="549"/>
      <c r="H104" s="549"/>
      <c r="I104" s="549"/>
      <c r="J104" s="550" t="s">
        <v>577</v>
      </c>
      <c r="K104" s="550"/>
      <c r="L104" s="550">
        <v>1</v>
      </c>
      <c r="M104" s="550"/>
      <c r="N104" s="551">
        <f>G122</f>
        <v>180.15</v>
      </c>
      <c r="O104" s="550"/>
      <c r="P104" s="551">
        <f t="shared" si="2"/>
        <v>180.15</v>
      </c>
      <c r="Q104" s="550"/>
      <c r="R104" s="552"/>
      <c r="S104" s="552"/>
      <c r="T104" s="18"/>
      <c r="U104" s="18"/>
      <c r="V104" s="18"/>
    </row>
    <row r="105" spans="1:22" s="16" customFormat="1" ht="15.75" customHeight="1">
      <c r="A105" s="549" t="s">
        <v>579</v>
      </c>
      <c r="B105" s="549"/>
      <c r="C105" s="549"/>
      <c r="D105" s="549"/>
      <c r="E105" s="549"/>
      <c r="F105" s="549"/>
      <c r="G105" s="549"/>
      <c r="H105" s="549"/>
      <c r="I105" s="549"/>
      <c r="J105" s="550" t="s">
        <v>577</v>
      </c>
      <c r="K105" s="550"/>
      <c r="L105" s="550">
        <v>1</v>
      </c>
      <c r="M105" s="550"/>
      <c r="N105" s="551">
        <f>(N104/12)*2</f>
        <v>30.025000000000002</v>
      </c>
      <c r="O105" s="550"/>
      <c r="P105" s="551">
        <f t="shared" si="2"/>
        <v>30.025000000000002</v>
      </c>
      <c r="Q105" s="550"/>
      <c r="R105" s="552"/>
      <c r="S105" s="552"/>
      <c r="T105" s="18"/>
      <c r="U105" s="18"/>
      <c r="V105" s="18"/>
    </row>
    <row r="106" spans="1:22" s="16" customFormat="1" ht="15.75" customHeight="1">
      <c r="A106" s="549" t="s">
        <v>580</v>
      </c>
      <c r="B106" s="549"/>
      <c r="C106" s="549"/>
      <c r="D106" s="549"/>
      <c r="E106" s="549"/>
      <c r="F106" s="549"/>
      <c r="G106" s="549"/>
      <c r="H106" s="549"/>
      <c r="I106" s="549"/>
      <c r="J106" s="550" t="s">
        <v>577</v>
      </c>
      <c r="K106" s="550"/>
      <c r="L106" s="550">
        <v>1</v>
      </c>
      <c r="M106" s="550"/>
      <c r="N106" s="551">
        <f>'BANCO DE DADOS'!$K$15</f>
        <v>37</v>
      </c>
      <c r="O106" s="550"/>
      <c r="P106" s="551">
        <f t="shared" si="2"/>
        <v>37</v>
      </c>
      <c r="Q106" s="550"/>
      <c r="R106" s="552"/>
      <c r="S106" s="552"/>
      <c r="T106" s="18"/>
      <c r="U106" s="18"/>
      <c r="V106" s="18"/>
    </row>
    <row r="107" spans="1:22" s="16" customFormat="1" ht="15.75" customHeight="1">
      <c r="A107" s="549" t="s">
        <v>244</v>
      </c>
      <c r="B107" s="549"/>
      <c r="C107" s="549"/>
      <c r="D107" s="549"/>
      <c r="E107" s="549"/>
      <c r="F107" s="549"/>
      <c r="G107" s="549"/>
      <c r="H107" s="549"/>
      <c r="I107" s="549"/>
      <c r="J107" s="550" t="s">
        <v>577</v>
      </c>
      <c r="K107" s="550"/>
      <c r="L107" s="550">
        <v>1</v>
      </c>
      <c r="M107" s="550"/>
      <c r="N107" s="551">
        <f>'BANCO DE DADOS'!$K$16</f>
        <v>12.91</v>
      </c>
      <c r="O107" s="550"/>
      <c r="P107" s="551">
        <f t="shared" si="2"/>
        <v>12.91</v>
      </c>
      <c r="Q107" s="550"/>
      <c r="R107" s="552"/>
      <c r="S107" s="552"/>
      <c r="T107" s="18"/>
      <c r="U107" s="18"/>
      <c r="V107" s="18"/>
    </row>
    <row r="108" spans="1:22" s="16" customFormat="1" ht="15.75" customHeight="1">
      <c r="A108" s="549" t="s">
        <v>581</v>
      </c>
      <c r="B108" s="549"/>
      <c r="C108" s="549"/>
      <c r="D108" s="549"/>
      <c r="E108" s="549"/>
      <c r="F108" s="549"/>
      <c r="G108" s="549"/>
      <c r="H108" s="549"/>
      <c r="I108" s="549"/>
      <c r="J108" s="550" t="s">
        <v>577</v>
      </c>
      <c r="K108" s="550"/>
      <c r="L108" s="550">
        <v>1</v>
      </c>
      <c r="M108" s="550"/>
      <c r="N108" s="551">
        <f>'BANCO DE DADOS'!$K$17</f>
        <v>32</v>
      </c>
      <c r="O108" s="550"/>
      <c r="P108" s="551">
        <f t="shared" si="2"/>
        <v>32</v>
      </c>
      <c r="Q108" s="550"/>
      <c r="R108" s="552"/>
      <c r="S108" s="552"/>
      <c r="T108" s="18"/>
      <c r="U108" s="18"/>
      <c r="V108" s="18"/>
    </row>
    <row r="109" spans="1:22" s="16" customFormat="1" ht="15.75" customHeight="1">
      <c r="A109" s="549" t="s">
        <v>582</v>
      </c>
      <c r="B109" s="549"/>
      <c r="C109" s="549"/>
      <c r="D109" s="549"/>
      <c r="E109" s="549"/>
      <c r="F109" s="549"/>
      <c r="G109" s="549"/>
      <c r="H109" s="549"/>
      <c r="I109" s="549"/>
      <c r="J109" s="550" t="s">
        <v>577</v>
      </c>
      <c r="K109" s="550"/>
      <c r="L109" s="550">
        <v>1</v>
      </c>
      <c r="M109" s="550"/>
      <c r="N109" s="551">
        <f>O136</f>
        <v>43.91</v>
      </c>
      <c r="O109" s="550"/>
      <c r="P109" s="551">
        <f t="shared" si="2"/>
        <v>43.91</v>
      </c>
      <c r="Q109" s="550"/>
      <c r="R109" s="552"/>
      <c r="S109" s="552"/>
      <c r="T109" s="18"/>
      <c r="U109" s="18"/>
      <c r="V109" s="18"/>
    </row>
    <row r="110" spans="1:22" s="16" customFormat="1" ht="15.75" customHeight="1">
      <c r="A110" s="561" t="s">
        <v>593</v>
      </c>
      <c r="B110" s="562"/>
      <c r="C110" s="562"/>
      <c r="D110" s="562"/>
      <c r="E110" s="562"/>
      <c r="F110" s="562"/>
      <c r="G110" s="562"/>
      <c r="H110" s="562"/>
      <c r="I110" s="562"/>
      <c r="J110" s="562"/>
      <c r="K110" s="562"/>
      <c r="L110" s="562"/>
      <c r="M110" s="562"/>
      <c r="N110" s="562"/>
      <c r="O110" s="563"/>
      <c r="P110" s="560">
        <f>SUM(P101:Q109)</f>
        <v>5144.1835599999995</v>
      </c>
      <c r="Q110" s="555"/>
      <c r="R110" s="565"/>
      <c r="S110" s="565"/>
      <c r="T110" s="18"/>
      <c r="U110" s="18"/>
      <c r="V110" s="18"/>
    </row>
    <row r="111" spans="1:22" s="16" customFormat="1" ht="15.75" customHeight="1">
      <c r="A111" s="549" t="s">
        <v>584</v>
      </c>
      <c r="B111" s="549"/>
      <c r="C111" s="549"/>
      <c r="D111" s="549"/>
      <c r="E111" s="549"/>
      <c r="F111" s="549"/>
      <c r="G111" s="549"/>
      <c r="H111" s="549"/>
      <c r="I111" s="549"/>
      <c r="J111" s="550" t="s">
        <v>585</v>
      </c>
      <c r="K111" s="550"/>
      <c r="L111" s="550">
        <v>1</v>
      </c>
      <c r="M111" s="550"/>
      <c r="N111" s="551">
        <f>P110</f>
        <v>5144.1835599999995</v>
      </c>
      <c r="O111" s="550"/>
      <c r="P111" s="551">
        <f>N111*L111</f>
        <v>5144.1835599999995</v>
      </c>
      <c r="Q111" s="550"/>
      <c r="R111" s="552"/>
      <c r="S111" s="552"/>
      <c r="T111" s="18"/>
      <c r="U111" s="18"/>
      <c r="V111" s="18"/>
    </row>
    <row r="112" spans="1:22" s="16" customFormat="1" ht="15.75" customHeight="1">
      <c r="A112" s="556" t="s">
        <v>587</v>
      </c>
      <c r="B112" s="557"/>
      <c r="C112" s="557"/>
      <c r="D112" s="557"/>
      <c r="E112" s="557"/>
      <c r="F112" s="557"/>
      <c r="G112" s="557"/>
      <c r="H112" s="557"/>
      <c r="I112" s="557"/>
      <c r="J112" s="557"/>
      <c r="K112" s="557"/>
      <c r="L112" s="557"/>
      <c r="M112" s="557"/>
      <c r="N112" s="557"/>
      <c r="O112" s="558"/>
      <c r="P112" s="559">
        <v>0.5</v>
      </c>
      <c r="Q112" s="559"/>
      <c r="R112" s="560">
        <f>P111*P112</f>
        <v>2572.0917799999997</v>
      </c>
      <c r="S112" s="555"/>
      <c r="T112" s="18"/>
      <c r="U112" s="18"/>
      <c r="V112" s="18"/>
    </row>
    <row r="113" spans="1:19">
      <c r="A113" s="47"/>
      <c r="B113" s="47"/>
      <c r="C113" s="48"/>
      <c r="D113" s="47"/>
      <c r="E113" s="48"/>
      <c r="F113" s="47"/>
      <c r="G113" s="47"/>
      <c r="H113" s="47"/>
      <c r="I113" s="47"/>
      <c r="J113" s="47"/>
      <c r="K113" s="47"/>
      <c r="L113" s="47"/>
      <c r="M113" s="47"/>
      <c r="N113" s="47"/>
      <c r="O113" s="47"/>
      <c r="P113" s="47"/>
      <c r="Q113" s="47"/>
      <c r="R113" s="49"/>
      <c r="S113" s="47"/>
    </row>
    <row r="114" spans="1:19" s="142" customFormat="1" ht="15.6">
      <c r="A114" s="583" t="s">
        <v>628</v>
      </c>
      <c r="B114" s="584"/>
      <c r="C114" s="584"/>
      <c r="D114" s="584"/>
      <c r="E114" s="584"/>
      <c r="F114" s="584"/>
      <c r="G114" s="584"/>
      <c r="H114" s="584"/>
      <c r="I114" s="585"/>
      <c r="J114" s="163"/>
      <c r="Q114" s="139"/>
    </row>
    <row r="115" spans="1:19" s="142" customFormat="1" ht="15.6">
      <c r="A115" s="586" t="s">
        <v>630</v>
      </c>
      <c r="B115" s="586"/>
      <c r="C115" s="586"/>
      <c r="D115" s="586"/>
      <c r="E115" s="586"/>
      <c r="F115" s="586"/>
      <c r="G115" s="586" t="s">
        <v>631</v>
      </c>
      <c r="H115" s="586"/>
      <c r="I115" s="418" t="s">
        <v>35</v>
      </c>
      <c r="J115" s="163"/>
      <c r="Q115" s="139"/>
    </row>
    <row r="116" spans="1:19" s="142" customFormat="1" ht="15.6">
      <c r="A116" s="578" t="s">
        <v>313</v>
      </c>
      <c r="B116" s="579"/>
      <c r="C116" s="579"/>
      <c r="D116" s="579"/>
      <c r="E116" s="579"/>
      <c r="F116" s="580"/>
      <c r="G116" s="581">
        <f>'BANCO DE DADOS'!E4</f>
        <v>1045</v>
      </c>
      <c r="H116" s="582"/>
      <c r="I116" s="417"/>
      <c r="J116" s="162"/>
      <c r="Q116" s="139"/>
    </row>
    <row r="117" spans="1:19" s="142" customFormat="1" ht="15.6">
      <c r="A117" s="578" t="s">
        <v>285</v>
      </c>
      <c r="B117" s="579"/>
      <c r="C117" s="579"/>
      <c r="D117" s="579"/>
      <c r="E117" s="579"/>
      <c r="F117" s="580"/>
      <c r="G117" s="581">
        <v>16</v>
      </c>
      <c r="H117" s="582"/>
      <c r="I117" s="417"/>
      <c r="J117" s="162"/>
      <c r="Q117" s="139"/>
    </row>
    <row r="118" spans="1:19" s="142" customFormat="1" ht="15.6">
      <c r="A118" s="578" t="s">
        <v>284</v>
      </c>
      <c r="B118" s="579"/>
      <c r="C118" s="579"/>
      <c r="D118" s="579"/>
      <c r="E118" s="579"/>
      <c r="F118" s="580"/>
      <c r="G118" s="581">
        <v>10</v>
      </c>
      <c r="H118" s="582"/>
      <c r="I118" s="417"/>
      <c r="J118" s="162"/>
      <c r="Q118" s="139"/>
    </row>
    <row r="119" spans="1:19" s="142" customFormat="1" ht="15.6">
      <c r="A119" s="578" t="s">
        <v>1</v>
      </c>
      <c r="B119" s="579"/>
      <c r="C119" s="579"/>
      <c r="D119" s="579"/>
      <c r="E119" s="579"/>
      <c r="F119" s="580"/>
      <c r="G119" s="620">
        <f>Encargos!C40</f>
        <v>0.85355440000000016</v>
      </c>
      <c r="H119" s="621"/>
      <c r="I119" s="417"/>
      <c r="J119" s="162"/>
      <c r="Q119" s="139"/>
    </row>
    <row r="120" spans="1:19" s="142" customFormat="1" ht="15.6">
      <c r="A120" s="578" t="s">
        <v>5</v>
      </c>
      <c r="B120" s="579"/>
      <c r="C120" s="579"/>
      <c r="D120" s="579"/>
      <c r="E120" s="579"/>
      <c r="F120" s="580"/>
      <c r="G120" s="581">
        <f>'BANCO DE DADOS'!K13</f>
        <v>3.2</v>
      </c>
      <c r="H120" s="582"/>
      <c r="I120" s="419">
        <f>(G120*2)*26</f>
        <v>166.4</v>
      </c>
      <c r="J120" s="162"/>
      <c r="Q120" s="139"/>
    </row>
    <row r="121" spans="1:19" s="142" customFormat="1" ht="15.6">
      <c r="A121" s="578" t="s">
        <v>6</v>
      </c>
      <c r="B121" s="579"/>
      <c r="C121" s="579"/>
      <c r="D121" s="579"/>
      <c r="E121" s="579"/>
      <c r="F121" s="580"/>
      <c r="G121" s="581">
        <f>'BANCO DE DADOS'!K16</f>
        <v>12.91</v>
      </c>
      <c r="H121" s="582"/>
      <c r="I121" s="417"/>
      <c r="J121" s="162"/>
      <c r="Q121" s="139"/>
      <c r="R121" s="9"/>
    </row>
    <row r="122" spans="1:19" s="142" customFormat="1" ht="15.75" customHeight="1">
      <c r="A122" s="578" t="s">
        <v>296</v>
      </c>
      <c r="B122" s="579"/>
      <c r="C122" s="579"/>
      <c r="D122" s="579"/>
      <c r="E122" s="579"/>
      <c r="F122" s="580"/>
      <c r="G122" s="581">
        <f>'BANCO DE DADOS'!K10</f>
        <v>180.15</v>
      </c>
      <c r="H122" s="582"/>
      <c r="I122" s="417"/>
      <c r="J122" s="162"/>
      <c r="Q122" s="139"/>
      <c r="R122" s="10"/>
    </row>
    <row r="123" spans="1:19" s="142" customFormat="1" ht="15.6">
      <c r="A123" s="578" t="s">
        <v>297</v>
      </c>
      <c r="B123" s="579"/>
      <c r="C123" s="579"/>
      <c r="D123" s="579"/>
      <c r="E123" s="579"/>
      <c r="F123" s="580"/>
      <c r="G123" s="581">
        <f>'BANCO DE DADOS'!M10</f>
        <v>171.52</v>
      </c>
      <c r="H123" s="582"/>
      <c r="I123" s="419"/>
      <c r="J123" s="162"/>
      <c r="Q123" s="139"/>
      <c r="R123" s="11"/>
    </row>
    <row r="124" spans="1:19" s="142" customFormat="1" ht="15.6">
      <c r="A124" s="578" t="s">
        <v>288</v>
      </c>
      <c r="B124" s="579"/>
      <c r="C124" s="579"/>
      <c r="D124" s="579"/>
      <c r="E124" s="579"/>
      <c r="F124" s="580"/>
      <c r="G124" s="581">
        <f>'BANCO DE DADOS'!K14</f>
        <v>15.37</v>
      </c>
      <c r="H124" s="582"/>
      <c r="I124" s="419">
        <f>G124*26</f>
        <v>399.62</v>
      </c>
      <c r="J124" s="162"/>
      <c r="Q124" s="139"/>
      <c r="R124" s="9"/>
    </row>
    <row r="125" spans="1:19">
      <c r="A125" s="57"/>
      <c r="B125" s="58"/>
      <c r="C125" s="309"/>
      <c r="D125" s="47"/>
      <c r="E125" s="48"/>
      <c r="F125" s="47"/>
      <c r="G125" s="47"/>
      <c r="H125" s="47"/>
      <c r="I125" s="47"/>
      <c r="J125" s="47"/>
      <c r="K125" s="47"/>
      <c r="L125" s="47"/>
      <c r="M125" s="47"/>
      <c r="N125" s="47"/>
      <c r="O125" s="47"/>
      <c r="P125" s="47"/>
      <c r="Q125" s="47"/>
      <c r="R125" s="49"/>
      <c r="S125" s="47"/>
    </row>
    <row r="126" spans="1:19">
      <c r="A126" s="622" t="s">
        <v>56</v>
      </c>
      <c r="B126" s="622"/>
      <c r="C126" s="622"/>
      <c r="D126" s="622"/>
      <c r="E126" s="622"/>
      <c r="F126" s="622"/>
      <c r="G126" s="622"/>
      <c r="H126" s="622"/>
      <c r="I126" s="622"/>
      <c r="J126" s="622"/>
      <c r="K126" s="622"/>
      <c r="L126" s="622"/>
      <c r="M126" s="622"/>
      <c r="N126" s="622"/>
      <c r="O126" s="622"/>
      <c r="P126" s="399"/>
      <c r="Q126" s="399"/>
      <c r="R126" s="399"/>
      <c r="S126" s="399"/>
    </row>
    <row r="127" spans="1:19">
      <c r="A127" s="594" t="s">
        <v>13</v>
      </c>
      <c r="B127" s="594"/>
      <c r="C127" s="594"/>
      <c r="D127" s="594"/>
      <c r="E127" s="594"/>
      <c r="F127" s="594"/>
      <c r="G127" s="592" t="s">
        <v>16</v>
      </c>
      <c r="H127" s="593" t="s">
        <v>57</v>
      </c>
      <c r="I127" s="593"/>
      <c r="J127" s="593"/>
      <c r="K127" s="593"/>
      <c r="L127" s="593" t="s">
        <v>11</v>
      </c>
      <c r="M127" s="593"/>
      <c r="N127" s="593" t="s">
        <v>460</v>
      </c>
      <c r="O127" s="593"/>
      <c r="P127" s="47"/>
      <c r="Q127" s="47"/>
      <c r="R127" s="49"/>
      <c r="S127" s="47"/>
    </row>
    <row r="128" spans="1:19" ht="27.6">
      <c r="A128" s="594"/>
      <c r="B128" s="594"/>
      <c r="C128" s="594"/>
      <c r="D128" s="594"/>
      <c r="E128" s="594"/>
      <c r="F128" s="594"/>
      <c r="G128" s="592"/>
      <c r="H128" s="594" t="s">
        <v>33</v>
      </c>
      <c r="I128" s="594"/>
      <c r="J128" s="592" t="s">
        <v>32</v>
      </c>
      <c r="K128" s="592"/>
      <c r="L128" s="335" t="s">
        <v>33</v>
      </c>
      <c r="M128" s="335" t="s">
        <v>32</v>
      </c>
      <c r="N128" s="335" t="s">
        <v>33</v>
      </c>
      <c r="O128" s="335" t="s">
        <v>32</v>
      </c>
      <c r="P128" s="56"/>
      <c r="Q128" s="336"/>
      <c r="R128" s="56"/>
      <c r="S128" s="56"/>
    </row>
    <row r="129" spans="1:30" ht="15" customHeight="1">
      <c r="A129" s="755" t="s">
        <v>30</v>
      </c>
      <c r="B129" s="755"/>
      <c r="C129" s="755"/>
      <c r="D129" s="755"/>
      <c r="E129" s="755"/>
      <c r="F129" s="755"/>
      <c r="G129" s="338">
        <f>'BANCO DE DADOS'!E22</f>
        <v>39.520000000000003</v>
      </c>
      <c r="H129" s="722">
        <f>8/12</f>
        <v>0.66666666666666663</v>
      </c>
      <c r="I129" s="722"/>
      <c r="J129" s="568">
        <f t="shared" ref="J129:J135" si="3">ROUND(G129*H129,2)</f>
        <v>26.35</v>
      </c>
      <c r="K129" s="568"/>
      <c r="L129" s="337">
        <f>6/12</f>
        <v>0.5</v>
      </c>
      <c r="M129" s="338">
        <f t="shared" ref="M129:M135" si="4">ROUND(G129*L129,2)</f>
        <v>19.760000000000002</v>
      </c>
      <c r="N129" s="337">
        <f>4/12</f>
        <v>0.33333333333333331</v>
      </c>
      <c r="O129" s="338">
        <f t="shared" ref="O129:O135" si="5">ROUND(G129*N129,2)</f>
        <v>13.17</v>
      </c>
      <c r="P129" s="56"/>
      <c r="Q129" s="56"/>
      <c r="R129" s="56"/>
      <c r="S129" s="56"/>
    </row>
    <row r="130" spans="1:30">
      <c r="A130" s="755" t="s">
        <v>14</v>
      </c>
      <c r="B130" s="755"/>
      <c r="C130" s="755"/>
      <c r="D130" s="755"/>
      <c r="E130" s="755"/>
      <c r="F130" s="755"/>
      <c r="G130" s="338">
        <f>'BANCO DE DADOS'!E23</f>
        <v>7.82</v>
      </c>
      <c r="H130" s="722">
        <f>4/12</f>
        <v>0.33333333333333331</v>
      </c>
      <c r="I130" s="722"/>
      <c r="J130" s="568">
        <f t="shared" si="3"/>
        <v>2.61</v>
      </c>
      <c r="K130" s="568"/>
      <c r="L130" s="337">
        <f>3/12</f>
        <v>0.25</v>
      </c>
      <c r="M130" s="338">
        <f t="shared" si="4"/>
        <v>1.96</v>
      </c>
      <c r="N130" s="337">
        <f>4/12</f>
        <v>0.33333333333333331</v>
      </c>
      <c r="O130" s="338">
        <f t="shared" si="5"/>
        <v>2.61</v>
      </c>
      <c r="P130" s="56"/>
      <c r="Q130" s="56"/>
      <c r="R130" s="56"/>
      <c r="S130" s="56"/>
    </row>
    <row r="131" spans="1:30">
      <c r="A131" s="755" t="s">
        <v>31</v>
      </c>
      <c r="B131" s="755"/>
      <c r="C131" s="755"/>
      <c r="D131" s="755"/>
      <c r="E131" s="755"/>
      <c r="F131" s="755"/>
      <c r="G131" s="338">
        <f>'BANCO DE DADOS'!E24</f>
        <v>22</v>
      </c>
      <c r="H131" s="722">
        <f>8/12</f>
        <v>0.66666666666666663</v>
      </c>
      <c r="I131" s="722"/>
      <c r="J131" s="568">
        <f t="shared" si="3"/>
        <v>14.67</v>
      </c>
      <c r="K131" s="568"/>
      <c r="L131" s="337">
        <f>6/12</f>
        <v>0.5</v>
      </c>
      <c r="M131" s="338">
        <f t="shared" si="4"/>
        <v>11</v>
      </c>
      <c r="N131" s="337">
        <f>4/12</f>
        <v>0.33333333333333331</v>
      </c>
      <c r="O131" s="338">
        <f t="shared" si="5"/>
        <v>7.33</v>
      </c>
      <c r="P131" s="56"/>
      <c r="Q131" s="56"/>
      <c r="R131" s="56"/>
      <c r="S131" s="56"/>
    </row>
    <row r="132" spans="1:30">
      <c r="A132" s="755" t="s">
        <v>15</v>
      </c>
      <c r="B132" s="755"/>
      <c r="C132" s="755"/>
      <c r="D132" s="755"/>
      <c r="E132" s="755"/>
      <c r="F132" s="755"/>
      <c r="G132" s="338">
        <f>'BANCO DE DADOS'!E29</f>
        <v>7.58</v>
      </c>
      <c r="H132" s="722">
        <f>12/12</f>
        <v>1</v>
      </c>
      <c r="I132" s="722"/>
      <c r="J132" s="568">
        <f t="shared" si="3"/>
        <v>7.58</v>
      </c>
      <c r="K132" s="568"/>
      <c r="L132" s="337">
        <f>4/12</f>
        <v>0.33333333333333331</v>
      </c>
      <c r="M132" s="338">
        <f t="shared" si="4"/>
        <v>2.5299999999999998</v>
      </c>
      <c r="N132" s="337">
        <v>0</v>
      </c>
      <c r="O132" s="338">
        <f t="shared" si="5"/>
        <v>0</v>
      </c>
      <c r="P132" s="56"/>
      <c r="Q132" s="56"/>
      <c r="R132" s="56"/>
      <c r="S132" s="56"/>
    </row>
    <row r="133" spans="1:30">
      <c r="A133" s="755" t="s">
        <v>246</v>
      </c>
      <c r="B133" s="755"/>
      <c r="C133" s="755"/>
      <c r="D133" s="755"/>
      <c r="E133" s="755"/>
      <c r="F133" s="755"/>
      <c r="G133" s="338">
        <f>'1 Coleta Domiciliar'!F182</f>
        <v>42.3</v>
      </c>
      <c r="H133" s="722">
        <f>6/12</f>
        <v>0.5</v>
      </c>
      <c r="I133" s="722"/>
      <c r="J133" s="568">
        <f t="shared" si="3"/>
        <v>21.15</v>
      </c>
      <c r="K133" s="568"/>
      <c r="L133" s="337">
        <f>3/12</f>
        <v>0.25</v>
      </c>
      <c r="M133" s="338">
        <f t="shared" si="4"/>
        <v>10.58</v>
      </c>
      <c r="N133" s="337">
        <f>3/12</f>
        <v>0.25</v>
      </c>
      <c r="O133" s="338">
        <f t="shared" si="5"/>
        <v>10.58</v>
      </c>
      <c r="P133" s="56"/>
      <c r="Q133" s="56"/>
      <c r="R133" s="56"/>
      <c r="S133" s="56"/>
    </row>
    <row r="134" spans="1:30">
      <c r="A134" s="755" t="s">
        <v>289</v>
      </c>
      <c r="B134" s="755"/>
      <c r="C134" s="755"/>
      <c r="D134" s="755"/>
      <c r="E134" s="755"/>
      <c r="F134" s="755"/>
      <c r="G134" s="338">
        <f>'BANCO DE DADOS'!E30</f>
        <v>16.850000000000001</v>
      </c>
      <c r="H134" s="722">
        <f>12/12</f>
        <v>1</v>
      </c>
      <c r="I134" s="722"/>
      <c r="J134" s="568">
        <f t="shared" si="3"/>
        <v>16.850000000000001</v>
      </c>
      <c r="K134" s="568"/>
      <c r="L134" s="337">
        <f>2/12</f>
        <v>0.16666666666666666</v>
      </c>
      <c r="M134" s="338">
        <f t="shared" si="4"/>
        <v>2.81</v>
      </c>
      <c r="N134" s="337">
        <f>6/12</f>
        <v>0.5</v>
      </c>
      <c r="O134" s="338">
        <f t="shared" si="5"/>
        <v>8.43</v>
      </c>
      <c r="P134" s="56"/>
      <c r="Q134" s="56"/>
      <c r="R134" s="56"/>
      <c r="S134" s="56"/>
    </row>
    <row r="135" spans="1:30">
      <c r="A135" s="755" t="s">
        <v>370</v>
      </c>
      <c r="B135" s="755"/>
      <c r="C135" s="755"/>
      <c r="D135" s="755"/>
      <c r="E135" s="755"/>
      <c r="F135" s="755"/>
      <c r="G135" s="338">
        <f>'BANCO DE DADOS'!E26</f>
        <v>21.5</v>
      </c>
      <c r="H135" s="722">
        <f>3/12</f>
        <v>0.25</v>
      </c>
      <c r="I135" s="722"/>
      <c r="J135" s="568">
        <f t="shared" si="3"/>
        <v>5.38</v>
      </c>
      <c r="K135" s="568"/>
      <c r="L135" s="337">
        <f>3/12</f>
        <v>0.25</v>
      </c>
      <c r="M135" s="338">
        <f t="shared" si="4"/>
        <v>5.38</v>
      </c>
      <c r="N135" s="337">
        <f>1/12</f>
        <v>8.3333333333333329E-2</v>
      </c>
      <c r="O135" s="338">
        <f t="shared" si="5"/>
        <v>1.79</v>
      </c>
      <c r="P135" s="56"/>
      <c r="Q135" s="56"/>
      <c r="R135" s="56"/>
      <c r="S135" s="56"/>
    </row>
    <row r="136" spans="1:30">
      <c r="A136" s="598" t="s">
        <v>34</v>
      </c>
      <c r="B136" s="598"/>
      <c r="C136" s="598"/>
      <c r="D136" s="598"/>
      <c r="E136" s="598"/>
      <c r="F136" s="598"/>
      <c r="G136" s="598"/>
      <c r="H136" s="598"/>
      <c r="I136" s="598"/>
      <c r="J136" s="588">
        <f>SUM(J129:K135)</f>
        <v>94.59</v>
      </c>
      <c r="K136" s="588"/>
      <c r="L136" s="422" t="s">
        <v>35</v>
      </c>
      <c r="M136" s="339">
        <f>SUM(M129:M135)</f>
        <v>54.02</v>
      </c>
      <c r="N136" s="422" t="s">
        <v>35</v>
      </c>
      <c r="O136" s="423">
        <f>SUM(O129:O135)</f>
        <v>43.91</v>
      </c>
      <c r="P136" s="56"/>
      <c r="Q136" s="56"/>
      <c r="R136" s="56"/>
      <c r="S136" s="56"/>
    </row>
    <row r="137" spans="1:30">
      <c r="A137" s="46"/>
      <c r="B137" s="46"/>
      <c r="C137" s="46"/>
      <c r="D137" s="46"/>
      <c r="E137" s="46"/>
      <c r="F137" s="46"/>
      <c r="G137" s="46"/>
      <c r="H137" s="45"/>
      <c r="I137" s="56"/>
      <c r="J137" s="46"/>
      <c r="K137" s="46"/>
      <c r="L137" s="46"/>
      <c r="M137" s="46"/>
      <c r="N137" s="46"/>
      <c r="O137" s="46"/>
      <c r="P137" s="46"/>
      <c r="Q137" s="46"/>
      <c r="R137" s="71"/>
      <c r="S137" s="46"/>
    </row>
    <row r="138" spans="1:30" s="51" customFormat="1" ht="24.75" customHeight="1">
      <c r="A138" s="738" t="s">
        <v>160</v>
      </c>
      <c r="B138" s="739"/>
      <c r="C138" s="739"/>
      <c r="D138" s="739"/>
      <c r="E138" s="739"/>
      <c r="F138" s="739"/>
      <c r="G138" s="739"/>
      <c r="H138" s="739"/>
      <c r="I138" s="739"/>
      <c r="J138" s="739"/>
      <c r="K138" s="739"/>
      <c r="L138" s="739"/>
      <c r="M138" s="739"/>
      <c r="N138" s="739"/>
      <c r="O138" s="739"/>
      <c r="P138" s="739"/>
      <c r="Q138" s="739"/>
      <c r="R138" s="739"/>
      <c r="S138" s="739"/>
      <c r="T138" s="72"/>
      <c r="U138" s="72"/>
      <c r="V138" s="72"/>
      <c r="X138" s="64"/>
      <c r="Y138" s="64"/>
      <c r="AD138" s="64"/>
    </row>
    <row r="139" spans="1:30">
      <c r="A139" s="46"/>
      <c r="B139" s="44"/>
      <c r="C139" s="45"/>
      <c r="D139" s="46"/>
      <c r="E139" s="45"/>
      <c r="F139" s="46"/>
      <c r="G139" s="46"/>
      <c r="H139" s="46"/>
      <c r="I139" s="46"/>
      <c r="J139" s="46"/>
      <c r="K139" s="46"/>
      <c r="L139" s="46"/>
      <c r="M139" s="46"/>
      <c r="N139" s="46"/>
      <c r="O139" s="46"/>
      <c r="P139" s="46"/>
      <c r="Q139" s="46"/>
      <c r="R139" s="73"/>
      <c r="S139" s="46"/>
    </row>
    <row r="140" spans="1:30">
      <c r="A140" s="740" t="s">
        <v>9</v>
      </c>
      <c r="B140" s="740"/>
      <c r="C140" s="740"/>
      <c r="D140" s="740"/>
      <c r="E140" s="740"/>
      <c r="F140" s="740"/>
      <c r="G140" s="740"/>
      <c r="H140" s="740"/>
      <c r="I140" s="740"/>
      <c r="J140" s="740"/>
      <c r="K140" s="740"/>
      <c r="L140" s="740"/>
      <c r="M140" s="740"/>
      <c r="N140" s="740"/>
      <c r="O140" s="740"/>
      <c r="P140" s="740"/>
      <c r="Q140" s="740"/>
      <c r="R140" s="73"/>
      <c r="S140" s="46"/>
    </row>
    <row r="141" spans="1:30">
      <c r="A141" s="648" t="s">
        <v>37</v>
      </c>
      <c r="B141" s="648"/>
      <c r="C141" s="648"/>
      <c r="D141" s="648"/>
      <c r="E141" s="648"/>
      <c r="F141" s="648"/>
      <c r="G141" s="648"/>
      <c r="H141" s="648"/>
      <c r="I141" s="46"/>
      <c r="J141" s="705" t="s">
        <v>178</v>
      </c>
      <c r="K141" s="706"/>
      <c r="L141" s="706"/>
      <c r="M141" s="706"/>
      <c r="N141" s="706"/>
      <c r="O141" s="706"/>
      <c r="P141" s="706"/>
      <c r="Q141" s="707"/>
      <c r="R141" s="73"/>
      <c r="S141" s="46"/>
    </row>
    <row r="142" spans="1:30">
      <c r="A142" s="570" t="s">
        <v>38</v>
      </c>
      <c r="B142" s="570"/>
      <c r="C142" s="570"/>
      <c r="D142" s="570"/>
      <c r="E142" s="570"/>
      <c r="F142" s="570"/>
      <c r="G142" s="723">
        <f>'BANCO DE DADOS'!E46</f>
        <v>243950</v>
      </c>
      <c r="H142" s="723"/>
      <c r="I142" s="46"/>
      <c r="J142" s="708" t="s">
        <v>182</v>
      </c>
      <c r="K142" s="709"/>
      <c r="L142" s="709"/>
      <c r="M142" s="709"/>
      <c r="N142" s="709"/>
      <c r="O142" s="709"/>
      <c r="P142" s="709"/>
      <c r="Q142" s="710"/>
      <c r="R142" s="73"/>
      <c r="S142" s="46"/>
    </row>
    <row r="143" spans="1:30">
      <c r="A143" s="570" t="s">
        <v>39</v>
      </c>
      <c r="B143" s="570"/>
      <c r="C143" s="570"/>
      <c r="D143" s="570"/>
      <c r="E143" s="570"/>
      <c r="F143" s="570"/>
      <c r="G143" s="723">
        <f>'BANCO DE DADOS'!E47</f>
        <v>147735</v>
      </c>
      <c r="H143" s="723"/>
      <c r="I143" s="46"/>
      <c r="J143" s="94" t="s">
        <v>179</v>
      </c>
      <c r="K143" s="95"/>
      <c r="L143" s="92"/>
      <c r="M143" s="95"/>
      <c r="N143" s="711">
        <v>26</v>
      </c>
      <c r="O143" s="711"/>
      <c r="P143" s="711"/>
      <c r="Q143" s="712"/>
      <c r="R143" s="73"/>
      <c r="S143" s="46"/>
    </row>
    <row r="144" spans="1:30">
      <c r="A144" s="570" t="s">
        <v>174</v>
      </c>
      <c r="B144" s="570"/>
      <c r="C144" s="570"/>
      <c r="D144" s="570"/>
      <c r="E144" s="570"/>
      <c r="F144" s="570"/>
      <c r="G144" s="723">
        <f>'BANCO DE DADOS'!E48</f>
        <v>20000</v>
      </c>
      <c r="H144" s="723"/>
      <c r="I144" s="46"/>
      <c r="J144" s="94" t="s">
        <v>180</v>
      </c>
      <c r="K144" s="95"/>
      <c r="L144" s="92"/>
      <c r="M144" s="95"/>
      <c r="N144" s="696">
        <v>200</v>
      </c>
      <c r="O144" s="696"/>
      <c r="P144" s="696"/>
      <c r="Q144" s="697"/>
      <c r="R144" s="73"/>
      <c r="S144" s="46"/>
    </row>
    <row r="145" spans="1:30">
      <c r="A145" s="648" t="s">
        <v>19</v>
      </c>
      <c r="B145" s="648"/>
      <c r="C145" s="648"/>
      <c r="D145" s="648"/>
      <c r="E145" s="648"/>
      <c r="F145" s="648"/>
      <c r="G145" s="724">
        <f>SUM(G142:H144)</f>
        <v>411685</v>
      </c>
      <c r="H145" s="724"/>
      <c r="I145" s="46"/>
      <c r="J145" s="94" t="s">
        <v>177</v>
      </c>
      <c r="K145" s="95"/>
      <c r="L145" s="92"/>
      <c r="M145" s="95"/>
      <c r="N145" s="698">
        <f>R38</f>
        <v>1</v>
      </c>
      <c r="O145" s="698"/>
      <c r="P145" s="698"/>
      <c r="Q145" s="699"/>
      <c r="R145" s="73"/>
      <c r="S145" s="46"/>
    </row>
    <row r="146" spans="1:30">
      <c r="A146" s="341"/>
      <c r="B146" s="341"/>
      <c r="C146" s="341"/>
      <c r="D146" s="341"/>
      <c r="E146" s="45"/>
      <c r="F146" s="46"/>
      <c r="G146" s="46"/>
      <c r="H146" s="46"/>
      <c r="I146" s="46"/>
      <c r="J146" s="96" t="s">
        <v>181</v>
      </c>
      <c r="K146" s="97"/>
      <c r="L146" s="93"/>
      <c r="M146" s="97"/>
      <c r="N146" s="700">
        <f>N144*N143*N145</f>
        <v>5200</v>
      </c>
      <c r="O146" s="700"/>
      <c r="P146" s="700"/>
      <c r="Q146" s="701"/>
      <c r="R146" s="73"/>
      <c r="S146" s="46"/>
    </row>
    <row r="147" spans="1:30">
      <c r="A147" s="306"/>
      <c r="B147" s="306"/>
      <c r="C147" s="306"/>
      <c r="D147" s="306"/>
      <c r="E147" s="45"/>
      <c r="F147" s="46"/>
      <c r="G147" s="46"/>
      <c r="H147" s="46"/>
      <c r="I147" s="46"/>
      <c r="J147" s="46"/>
      <c r="K147" s="46"/>
      <c r="L147" s="46"/>
      <c r="M147" s="46"/>
      <c r="N147" s="46"/>
      <c r="O147" s="46"/>
      <c r="P147" s="46"/>
      <c r="Q147" s="46"/>
      <c r="R147" s="73"/>
      <c r="S147" s="46"/>
    </row>
    <row r="148" spans="1:30">
      <c r="A148" s="719" t="s">
        <v>166</v>
      </c>
      <c r="B148" s="719"/>
      <c r="C148" s="719"/>
      <c r="D148" s="719"/>
      <c r="E148" s="719"/>
      <c r="F148" s="719"/>
      <c r="G148" s="719"/>
      <c r="H148" s="46"/>
      <c r="I148" s="46"/>
      <c r="J148" s="91"/>
      <c r="K148" s="91"/>
      <c r="L148" s="81"/>
      <c r="M148" s="91"/>
      <c r="N148" s="90"/>
      <c r="O148" s="90"/>
      <c r="P148" s="81"/>
      <c r="Q148" s="81"/>
      <c r="R148" s="73"/>
      <c r="S148" s="46"/>
    </row>
    <row r="149" spans="1:30" ht="15.6">
      <c r="A149" s="720" t="s">
        <v>175</v>
      </c>
      <c r="B149" s="720"/>
      <c r="C149" s="720"/>
      <c r="D149" s="720"/>
      <c r="E149" s="720"/>
      <c r="F149" s="720"/>
      <c r="G149" s="720"/>
      <c r="H149" s="46"/>
      <c r="I149" s="46"/>
      <c r="J149" s="702"/>
      <c r="K149" s="702"/>
      <c r="L149" s="81"/>
      <c r="M149" s="91"/>
      <c r="N149" s="703"/>
      <c r="O149" s="703"/>
      <c r="P149" s="703"/>
      <c r="Q149" s="703"/>
      <c r="R149" s="73"/>
      <c r="S149" s="46"/>
    </row>
    <row r="150" spans="1:30">
      <c r="A150" s="692" t="s">
        <v>162</v>
      </c>
      <c r="B150" s="693"/>
      <c r="C150" s="693"/>
      <c r="D150" s="693"/>
      <c r="E150" s="694"/>
      <c r="F150" s="721">
        <f>N146</f>
        <v>5200</v>
      </c>
      <c r="G150" s="721"/>
      <c r="H150" s="81"/>
      <c r="I150" s="46"/>
      <c r="J150" s="98"/>
      <c r="K150" s="98"/>
      <c r="L150" s="98"/>
      <c r="M150" s="98"/>
      <c r="N150" s="46"/>
      <c r="O150" s="46"/>
      <c r="P150" s="46"/>
      <c r="Q150" s="46"/>
      <c r="R150" s="73"/>
      <c r="S150" s="46"/>
    </row>
    <row r="151" spans="1:30">
      <c r="A151" s="692" t="s">
        <v>161</v>
      </c>
      <c r="B151" s="693"/>
      <c r="C151" s="693"/>
      <c r="D151" s="693"/>
      <c r="E151" s="694"/>
      <c r="F151" s="718">
        <v>1.8</v>
      </c>
      <c r="G151" s="718"/>
      <c r="H151" s="81"/>
      <c r="I151" s="46"/>
      <c r="J151" s="46"/>
      <c r="K151" s="46"/>
      <c r="L151" s="46"/>
      <c r="M151" s="46"/>
      <c r="N151" s="46"/>
      <c r="O151" s="46"/>
      <c r="P151" s="46"/>
      <c r="Q151" s="46"/>
      <c r="R151" s="73"/>
      <c r="S151" s="46"/>
    </row>
    <row r="152" spans="1:30">
      <c r="A152" s="692" t="s">
        <v>212</v>
      </c>
      <c r="B152" s="693"/>
      <c r="C152" s="693"/>
      <c r="D152" s="693"/>
      <c r="E152" s="694"/>
      <c r="F152" s="695">
        <f>'BANCO DE DADOS'!$E$61</f>
        <v>3.5993333333333335</v>
      </c>
      <c r="G152" s="695"/>
      <c r="H152" s="81"/>
      <c r="I152" s="46"/>
      <c r="J152" s="46"/>
      <c r="K152" s="46"/>
      <c r="L152" s="46"/>
      <c r="M152" s="46"/>
      <c r="N152" s="46"/>
      <c r="O152" s="46"/>
      <c r="P152" s="46"/>
      <c r="Q152" s="46"/>
      <c r="R152" s="73"/>
      <c r="S152" s="46"/>
    </row>
    <row r="153" spans="1:30">
      <c r="A153" s="692" t="s">
        <v>176</v>
      </c>
      <c r="B153" s="693"/>
      <c r="C153" s="693"/>
      <c r="D153" s="693"/>
      <c r="E153" s="694"/>
      <c r="F153" s="695">
        <f>F152*0.15</f>
        <v>0.53990000000000005</v>
      </c>
      <c r="G153" s="695"/>
      <c r="H153" s="81"/>
      <c r="I153" s="46"/>
      <c r="J153" s="46"/>
      <c r="K153" s="46"/>
      <c r="L153" s="46"/>
      <c r="M153" s="46"/>
      <c r="N153" s="46"/>
      <c r="O153" s="46"/>
      <c r="P153" s="46"/>
      <c r="Q153" s="46"/>
      <c r="R153" s="73"/>
      <c r="S153" s="46"/>
    </row>
    <row r="154" spans="1:30">
      <c r="A154" s="692" t="s">
        <v>595</v>
      </c>
      <c r="B154" s="693"/>
      <c r="C154" s="693"/>
      <c r="D154" s="693"/>
      <c r="E154" s="694"/>
      <c r="F154" s="695">
        <f>SUM(F152:F153)</f>
        <v>4.1392333333333333</v>
      </c>
      <c r="G154" s="695"/>
      <c r="H154" s="81"/>
      <c r="I154" s="46"/>
      <c r="J154" s="46"/>
      <c r="K154" s="46"/>
      <c r="L154" s="46"/>
      <c r="M154" s="46"/>
      <c r="N154" s="46"/>
      <c r="O154" s="46"/>
      <c r="P154" s="46"/>
      <c r="Q154" s="46"/>
      <c r="R154" s="73"/>
      <c r="S154" s="46"/>
    </row>
    <row r="155" spans="1:30" ht="18">
      <c r="A155" s="407" t="s">
        <v>183</v>
      </c>
      <c r="B155" s="430"/>
      <c r="C155" s="431"/>
      <c r="D155" s="431"/>
      <c r="E155" s="690">
        <f>(F150/F151)*F154</f>
        <v>11957.785185185185</v>
      </c>
      <c r="F155" s="690"/>
      <c r="G155" s="690"/>
      <c r="H155" s="81"/>
      <c r="I155" s="46"/>
      <c r="J155" s="46"/>
      <c r="K155" s="46"/>
      <c r="L155" s="46"/>
      <c r="M155" s="46"/>
      <c r="N155" s="46"/>
      <c r="O155" s="46"/>
      <c r="P155" s="46"/>
      <c r="Q155" s="46"/>
      <c r="R155" s="73"/>
      <c r="S155" s="46"/>
    </row>
    <row r="156" spans="1:30">
      <c r="A156" s="306"/>
      <c r="B156" s="51"/>
      <c r="C156" s="307"/>
      <c r="D156" s="307"/>
      <c r="E156" s="45"/>
      <c r="F156" s="46"/>
      <c r="G156" s="46"/>
      <c r="H156" s="46"/>
      <c r="I156" s="46"/>
      <c r="J156" s="46"/>
      <c r="K156" s="46"/>
      <c r="L156" s="46"/>
      <c r="M156" s="46"/>
      <c r="N156" s="46"/>
      <c r="O156" s="46"/>
      <c r="P156" s="46"/>
      <c r="Q156" s="46"/>
      <c r="R156" s="73"/>
      <c r="S156" s="46"/>
    </row>
    <row r="157" spans="1:30" s="51" customFormat="1" ht="13.8">
      <c r="A157" s="714" t="s">
        <v>184</v>
      </c>
      <c r="B157" s="714"/>
      <c r="C157" s="714"/>
      <c r="D157" s="714"/>
      <c r="E157" s="714"/>
      <c r="F157" s="714"/>
      <c r="G157" s="714"/>
      <c r="H157" s="714"/>
      <c r="I157" s="714"/>
      <c r="J157" s="714"/>
      <c r="K157" s="714"/>
      <c r="L157" s="714"/>
      <c r="M157" s="714"/>
      <c r="N157" s="714"/>
      <c r="O157" s="714"/>
      <c r="P157" s="714"/>
      <c r="Q157" s="714"/>
      <c r="R157" s="714"/>
      <c r="S157" s="714"/>
      <c r="T157" s="72"/>
      <c r="U157" s="72"/>
      <c r="V157" s="72"/>
      <c r="X157" s="64"/>
      <c r="Y157" s="64"/>
      <c r="AD157" s="64"/>
    </row>
    <row r="158" spans="1:30" s="51" customFormat="1" ht="13.8">
      <c r="A158" s="680" t="s">
        <v>569</v>
      </c>
      <c r="B158" s="680"/>
      <c r="C158" s="680"/>
      <c r="D158" s="680"/>
      <c r="E158" s="680"/>
      <c r="F158" s="680"/>
      <c r="G158" s="680"/>
      <c r="H158" s="680"/>
      <c r="I158" s="715" t="s">
        <v>24</v>
      </c>
      <c r="J158" s="717"/>
      <c r="K158" s="651" t="s">
        <v>36</v>
      </c>
      <c r="L158" s="652"/>
      <c r="M158" s="651" t="s">
        <v>597</v>
      </c>
      <c r="N158" s="652"/>
      <c r="O158" s="680" t="s">
        <v>571</v>
      </c>
      <c r="P158" s="680"/>
      <c r="Q158" s="680" t="s">
        <v>195</v>
      </c>
      <c r="R158" s="680"/>
      <c r="S158" s="680"/>
      <c r="T158" s="72"/>
      <c r="U158" s="72"/>
      <c r="V158" s="72"/>
      <c r="X158" s="64"/>
      <c r="Y158" s="64"/>
      <c r="AD158" s="64"/>
    </row>
    <row r="159" spans="1:30" s="51" customFormat="1" ht="13.8">
      <c r="A159" s="756" t="s">
        <v>596</v>
      </c>
      <c r="B159" s="756"/>
      <c r="C159" s="756"/>
      <c r="D159" s="756"/>
      <c r="E159" s="756"/>
      <c r="F159" s="756"/>
      <c r="G159" s="756"/>
      <c r="H159" s="756"/>
      <c r="I159" s="715" t="s">
        <v>577</v>
      </c>
      <c r="J159" s="717"/>
      <c r="K159" s="651">
        <v>6</v>
      </c>
      <c r="L159" s="652"/>
      <c r="M159" s="759">
        <f>'BANCO DE DADOS'!$E$66</f>
        <v>1520</v>
      </c>
      <c r="N159" s="760"/>
      <c r="O159" s="761">
        <f>M159*K159</f>
        <v>9120</v>
      </c>
      <c r="P159" s="761"/>
      <c r="Q159" s="680"/>
      <c r="R159" s="680"/>
      <c r="S159" s="680"/>
      <c r="T159" s="72"/>
      <c r="U159" s="72"/>
      <c r="V159" s="72"/>
      <c r="X159" s="64"/>
      <c r="Y159" s="64"/>
      <c r="AD159" s="64"/>
    </row>
    <row r="160" spans="1:30" s="51" customFormat="1" ht="13.8">
      <c r="A160" s="756" t="s">
        <v>598</v>
      </c>
      <c r="B160" s="756"/>
      <c r="C160" s="756"/>
      <c r="D160" s="756"/>
      <c r="E160" s="756"/>
      <c r="F160" s="756"/>
      <c r="G160" s="756"/>
      <c r="H160" s="756"/>
      <c r="I160" s="715" t="s">
        <v>577</v>
      </c>
      <c r="J160" s="717"/>
      <c r="K160" s="651">
        <f>K159*K161</f>
        <v>12</v>
      </c>
      <c r="L160" s="652"/>
      <c r="M160" s="759">
        <f>'BANCO DE DADOS'!$E$67</f>
        <v>450</v>
      </c>
      <c r="N160" s="760"/>
      <c r="O160" s="761">
        <f>M160*K160</f>
        <v>5400</v>
      </c>
      <c r="P160" s="761"/>
      <c r="Q160" s="680"/>
      <c r="R160" s="680"/>
      <c r="S160" s="680"/>
      <c r="T160" s="72"/>
      <c r="U160" s="72"/>
      <c r="V160" s="72"/>
      <c r="X160" s="64"/>
      <c r="Y160" s="64"/>
      <c r="AD160" s="64"/>
    </row>
    <row r="161" spans="1:30" s="51" customFormat="1" ht="13.8">
      <c r="A161" s="756" t="s">
        <v>599</v>
      </c>
      <c r="B161" s="756"/>
      <c r="C161" s="756"/>
      <c r="D161" s="756"/>
      <c r="E161" s="756"/>
      <c r="F161" s="756"/>
      <c r="G161" s="756"/>
      <c r="H161" s="756"/>
      <c r="I161" s="715" t="s">
        <v>577</v>
      </c>
      <c r="J161" s="717"/>
      <c r="K161" s="651">
        <v>2</v>
      </c>
      <c r="L161" s="652"/>
      <c r="M161" s="759"/>
      <c r="N161" s="760"/>
      <c r="O161" s="761"/>
      <c r="P161" s="761"/>
      <c r="Q161" s="680"/>
      <c r="R161" s="680"/>
      <c r="S161" s="680"/>
      <c r="T161" s="72"/>
      <c r="U161" s="72"/>
      <c r="V161" s="72"/>
      <c r="X161" s="64"/>
      <c r="Y161" s="64"/>
      <c r="AD161" s="64"/>
    </row>
    <row r="162" spans="1:30" s="51" customFormat="1" ht="13.8">
      <c r="A162" s="756" t="s">
        <v>604</v>
      </c>
      <c r="B162" s="756"/>
      <c r="C162" s="756"/>
      <c r="D162" s="756"/>
      <c r="E162" s="756"/>
      <c r="F162" s="756"/>
      <c r="G162" s="756"/>
      <c r="H162" s="756"/>
      <c r="I162" s="715" t="s">
        <v>600</v>
      </c>
      <c r="J162" s="717"/>
      <c r="K162" s="651">
        <v>36000</v>
      </c>
      <c r="L162" s="652"/>
      <c r="M162" s="759">
        <f>O159+O160</f>
        <v>14520</v>
      </c>
      <c r="N162" s="760"/>
      <c r="O162" s="761">
        <f>M162/K162</f>
        <v>0.40333333333333332</v>
      </c>
      <c r="P162" s="761"/>
      <c r="Q162" s="680"/>
      <c r="R162" s="680"/>
      <c r="S162" s="680"/>
      <c r="T162" s="72"/>
      <c r="U162" s="72"/>
      <c r="V162" s="72"/>
      <c r="X162" s="64"/>
      <c r="Y162" s="64"/>
      <c r="AD162" s="64"/>
    </row>
    <row r="163" spans="1:30" s="51" customFormat="1" ht="13.8">
      <c r="A163" s="756" t="s">
        <v>602</v>
      </c>
      <c r="B163" s="756"/>
      <c r="C163" s="756"/>
      <c r="D163" s="756"/>
      <c r="E163" s="756"/>
      <c r="F163" s="756"/>
      <c r="G163" s="756"/>
      <c r="H163" s="756"/>
      <c r="I163" s="715" t="s">
        <v>601</v>
      </c>
      <c r="J163" s="717"/>
      <c r="K163" s="762">
        <f>N146</f>
        <v>5200</v>
      </c>
      <c r="L163" s="763"/>
      <c r="M163" s="759">
        <f>O162</f>
        <v>0.40333333333333332</v>
      </c>
      <c r="N163" s="760"/>
      <c r="O163" s="761">
        <f>K163*M163</f>
        <v>2097.3333333333335</v>
      </c>
      <c r="P163" s="761"/>
      <c r="Q163" s="680"/>
      <c r="R163" s="680"/>
      <c r="S163" s="680"/>
      <c r="T163" s="72"/>
      <c r="U163" s="72"/>
      <c r="V163" s="72"/>
      <c r="X163" s="64"/>
      <c r="Y163" s="64"/>
      <c r="AD163" s="64"/>
    </row>
    <row r="164" spans="1:30" s="51" customFormat="1" ht="18">
      <c r="A164" s="765" t="s">
        <v>603</v>
      </c>
      <c r="B164" s="765"/>
      <c r="C164" s="765"/>
      <c r="D164" s="765"/>
      <c r="E164" s="765"/>
      <c r="F164" s="765"/>
      <c r="G164" s="765"/>
      <c r="H164" s="765"/>
      <c r="I164" s="765"/>
      <c r="J164" s="765"/>
      <c r="K164" s="765"/>
      <c r="L164" s="765"/>
      <c r="M164" s="765"/>
      <c r="N164" s="765"/>
      <c r="O164" s="765"/>
      <c r="P164" s="765"/>
      <c r="Q164" s="665">
        <f>O163</f>
        <v>2097.3333333333335</v>
      </c>
      <c r="R164" s="666"/>
      <c r="S164" s="666"/>
      <c r="T164" s="72"/>
      <c r="U164" s="72"/>
      <c r="V164" s="72"/>
      <c r="X164" s="64"/>
      <c r="Y164" s="64"/>
      <c r="AD164" s="64"/>
    </row>
    <row r="165" spans="1:30">
      <c r="A165" s="74"/>
      <c r="B165" s="691"/>
      <c r="C165" s="691"/>
      <c r="D165" s="307"/>
      <c r="E165" s="45"/>
      <c r="F165" s="46"/>
      <c r="G165" s="46"/>
      <c r="H165" s="46"/>
      <c r="I165" s="46"/>
      <c r="J165" s="46"/>
      <c r="K165" s="46"/>
      <c r="L165" s="46"/>
      <c r="M165" s="46"/>
      <c r="N165" s="46"/>
      <c r="O165" s="46"/>
      <c r="P165" s="46"/>
      <c r="Q165" s="46"/>
      <c r="R165" s="73"/>
      <c r="S165" s="46"/>
    </row>
    <row r="166" spans="1:30" s="51" customFormat="1" ht="13.8">
      <c r="A166" s="714" t="s">
        <v>163</v>
      </c>
      <c r="B166" s="714"/>
      <c r="C166" s="714"/>
      <c r="D166" s="714"/>
      <c r="E166" s="714"/>
      <c r="F166" s="714"/>
      <c r="G166" s="714"/>
      <c r="H166" s="714"/>
      <c r="I166" s="714"/>
      <c r="J166" s="714"/>
      <c r="K166" s="714"/>
      <c r="L166" s="714"/>
      <c r="M166" s="714"/>
      <c r="N166" s="714"/>
      <c r="O166" s="714"/>
      <c r="P166" s="714"/>
      <c r="Q166" s="714"/>
      <c r="R166" s="714"/>
      <c r="S166" s="714"/>
      <c r="T166" s="72"/>
      <c r="U166" s="72"/>
      <c r="V166" s="72"/>
      <c r="X166" s="64"/>
      <c r="Y166" s="64"/>
      <c r="AD166" s="64"/>
    </row>
    <row r="167" spans="1:30" s="51" customFormat="1" ht="13.8">
      <c r="A167" s="756" t="s">
        <v>10</v>
      </c>
      <c r="B167" s="756"/>
      <c r="C167" s="756"/>
      <c r="D167" s="756"/>
      <c r="E167" s="766">
        <v>0.8</v>
      </c>
      <c r="F167" s="766"/>
      <c r="G167" s="46"/>
      <c r="H167" s="767" t="s">
        <v>605</v>
      </c>
      <c r="I167" s="767"/>
      <c r="J167" s="767"/>
      <c r="K167" s="767"/>
      <c r="L167" s="767"/>
      <c r="M167" s="767"/>
      <c r="N167" s="767"/>
      <c r="O167" s="767"/>
      <c r="P167" s="767"/>
      <c r="Q167" s="767"/>
      <c r="R167" s="73"/>
      <c r="S167" s="46"/>
      <c r="T167" s="72"/>
      <c r="U167" s="72"/>
      <c r="V167" s="72"/>
      <c r="X167" s="64"/>
      <c r="Y167" s="64"/>
      <c r="AD167" s="64"/>
    </row>
    <row r="168" spans="1:30" s="51" customFormat="1" ht="13.8">
      <c r="A168" s="756" t="s">
        <v>164</v>
      </c>
      <c r="B168" s="756"/>
      <c r="C168" s="756"/>
      <c r="D168" s="756"/>
      <c r="E168" s="761">
        <f>G145</f>
        <v>411685</v>
      </c>
      <c r="F168" s="761"/>
      <c r="G168" s="46"/>
      <c r="H168" s="767" t="s">
        <v>185</v>
      </c>
      <c r="I168" s="767"/>
      <c r="J168" s="344" t="s">
        <v>290</v>
      </c>
      <c r="K168" s="767" t="s">
        <v>186</v>
      </c>
      <c r="L168" s="767"/>
      <c r="M168" s="767"/>
      <c r="N168" s="767" t="s">
        <v>187</v>
      </c>
      <c r="O168" s="767"/>
      <c r="P168" s="767"/>
      <c r="Q168" s="767"/>
      <c r="R168" s="73"/>
      <c r="S168" s="46"/>
      <c r="T168" s="72"/>
      <c r="U168" s="72"/>
      <c r="V168" s="72"/>
      <c r="X168" s="64"/>
      <c r="Y168" s="64"/>
      <c r="AD168" s="64"/>
    </row>
    <row r="169" spans="1:30" s="51" customFormat="1" ht="13.8">
      <c r="A169" s="756" t="s">
        <v>165</v>
      </c>
      <c r="B169" s="756"/>
      <c r="C169" s="756"/>
      <c r="D169" s="756"/>
      <c r="E169" s="680">
        <v>60</v>
      </c>
      <c r="F169" s="680"/>
      <c r="G169" s="46"/>
      <c r="H169" s="757" t="s">
        <v>188</v>
      </c>
      <c r="I169" s="758"/>
      <c r="J169" s="343">
        <v>1</v>
      </c>
      <c r="K169" s="768">
        <f>E170</f>
        <v>5489.1333333333332</v>
      </c>
      <c r="L169" s="768"/>
      <c r="M169" s="768"/>
      <c r="N169" s="768">
        <f>J169*K169</f>
        <v>5489.1333333333332</v>
      </c>
      <c r="O169" s="768"/>
      <c r="P169" s="768"/>
      <c r="Q169" s="768"/>
      <c r="R169" s="73"/>
      <c r="S169" s="46"/>
      <c r="T169" s="72"/>
      <c r="U169" s="72"/>
      <c r="V169" s="72"/>
      <c r="X169" s="64"/>
      <c r="Y169" s="64"/>
      <c r="AD169" s="64"/>
    </row>
    <row r="170" spans="1:30" s="51" customFormat="1" ht="13.8">
      <c r="A170" s="756" t="s">
        <v>191</v>
      </c>
      <c r="B170" s="756"/>
      <c r="C170" s="756"/>
      <c r="D170" s="756"/>
      <c r="E170" s="761">
        <f>E168*E167/E169</f>
        <v>5489.1333333333332</v>
      </c>
      <c r="F170" s="761"/>
      <c r="G170" s="46"/>
      <c r="H170" s="100" t="s">
        <v>189</v>
      </c>
      <c r="I170" s="100"/>
      <c r="J170" s="343">
        <v>0</v>
      </c>
      <c r="K170" s="768">
        <f>E170</f>
        <v>5489.1333333333332</v>
      </c>
      <c r="L170" s="768"/>
      <c r="M170" s="768"/>
      <c r="N170" s="768">
        <f>J170*K170</f>
        <v>0</v>
      </c>
      <c r="O170" s="768"/>
      <c r="P170" s="768"/>
      <c r="Q170" s="768"/>
      <c r="R170" s="73"/>
      <c r="S170" s="46"/>
      <c r="T170" s="72"/>
      <c r="U170" s="72"/>
      <c r="V170" s="72"/>
      <c r="X170" s="64"/>
      <c r="Y170" s="64"/>
      <c r="AD170" s="64"/>
    </row>
    <row r="171" spans="1:30" s="51" customFormat="1" ht="18">
      <c r="F171" s="46"/>
      <c r="G171" s="46"/>
      <c r="H171" s="769" t="s">
        <v>190</v>
      </c>
      <c r="I171" s="770"/>
      <c r="J171" s="770"/>
      <c r="K171" s="770"/>
      <c r="L171" s="770"/>
      <c r="M171" s="771"/>
      <c r="N171" s="657">
        <f>SUM(N169:Q170)</f>
        <v>5489.1333333333332</v>
      </c>
      <c r="O171" s="657"/>
      <c r="P171" s="657"/>
      <c r="Q171" s="657"/>
      <c r="R171" s="73"/>
      <c r="S171" s="46"/>
      <c r="T171" s="72"/>
      <c r="U171" s="72"/>
      <c r="V171" s="72"/>
      <c r="X171" s="64"/>
      <c r="Y171" s="64"/>
      <c r="AD171" s="64"/>
    </row>
    <row r="172" spans="1:30">
      <c r="A172" s="75"/>
      <c r="B172" s="76"/>
      <c r="C172" s="76"/>
      <c r="D172" s="76"/>
      <c r="E172" s="76"/>
      <c r="F172" s="76"/>
      <c r="G172" s="76"/>
      <c r="H172" s="46"/>
      <c r="I172" s="46"/>
      <c r="J172" s="46"/>
      <c r="K172" s="46"/>
      <c r="L172" s="46"/>
      <c r="M172" s="46"/>
      <c r="N172" s="46"/>
      <c r="O172" s="46"/>
      <c r="P172" s="46"/>
      <c r="Q172" s="46"/>
      <c r="R172" s="73"/>
      <c r="S172" s="46"/>
    </row>
    <row r="173" spans="1:30" s="51" customFormat="1" ht="13.8">
      <c r="A173" s="714" t="s">
        <v>167</v>
      </c>
      <c r="B173" s="714"/>
      <c r="C173" s="714"/>
      <c r="D173" s="714"/>
      <c r="E173" s="714"/>
      <c r="F173" s="714"/>
      <c r="G173" s="714"/>
      <c r="H173" s="714"/>
      <c r="I173" s="714"/>
      <c r="J173" s="46"/>
      <c r="K173" s="46"/>
      <c r="L173" s="46"/>
      <c r="M173" s="46"/>
      <c r="N173" s="46"/>
      <c r="O173" s="46"/>
      <c r="P173" s="46"/>
      <c r="Q173" s="46"/>
      <c r="R173" s="73"/>
      <c r="S173" s="46"/>
      <c r="T173" s="72"/>
      <c r="U173" s="72"/>
      <c r="V173" s="72"/>
      <c r="X173" s="64"/>
      <c r="Y173" s="64"/>
      <c r="AD173" s="64"/>
    </row>
    <row r="174" spans="1:30" s="51" customFormat="1" ht="13.8">
      <c r="A174" s="570" t="s">
        <v>193</v>
      </c>
      <c r="B174" s="570"/>
      <c r="C174" s="570"/>
      <c r="D174" s="570"/>
      <c r="E174" s="570"/>
      <c r="F174" s="570"/>
      <c r="G174" s="570"/>
      <c r="H174" s="681">
        <v>200</v>
      </c>
      <c r="I174" s="681"/>
      <c r="J174" s="46"/>
      <c r="K174" s="46"/>
      <c r="L174" s="46"/>
      <c r="M174" s="46"/>
      <c r="N174" s="46"/>
      <c r="O174" s="46"/>
      <c r="P174" s="46"/>
      <c r="Q174" s="46"/>
      <c r="R174" s="73"/>
      <c r="S174" s="46"/>
      <c r="T174" s="72"/>
      <c r="U174" s="72"/>
      <c r="V174" s="72"/>
      <c r="X174" s="64"/>
      <c r="Y174" s="64"/>
      <c r="AD174" s="64"/>
    </row>
    <row r="175" spans="1:30" s="51" customFormat="1" ht="13.8">
      <c r="A175" s="570" t="s">
        <v>192</v>
      </c>
      <c r="B175" s="570"/>
      <c r="C175" s="570"/>
      <c r="D175" s="570"/>
      <c r="E175" s="570"/>
      <c r="F175" s="570"/>
      <c r="G175" s="570"/>
      <c r="H175" s="658">
        <v>4.5</v>
      </c>
      <c r="I175" s="658"/>
      <c r="J175" s="46"/>
      <c r="K175" s="46"/>
      <c r="L175" s="46"/>
      <c r="M175" s="46"/>
      <c r="N175" s="46"/>
      <c r="O175" s="46"/>
      <c r="P175" s="46"/>
      <c r="Q175" s="46"/>
      <c r="R175" s="73"/>
      <c r="S175" s="46"/>
      <c r="T175" s="72"/>
      <c r="U175" s="72"/>
      <c r="V175" s="72"/>
      <c r="X175" s="64"/>
      <c r="Y175" s="64"/>
      <c r="AD175" s="64"/>
    </row>
    <row r="176" spans="1:30" s="51" customFormat="1" ht="13.8">
      <c r="A176" s="570" t="s">
        <v>168</v>
      </c>
      <c r="B176" s="570"/>
      <c r="C176" s="570"/>
      <c r="D176" s="570"/>
      <c r="E176" s="570"/>
      <c r="F176" s="570"/>
      <c r="G176" s="570"/>
      <c r="H176" s="681">
        <f>H174*H175</f>
        <v>900</v>
      </c>
      <c r="I176" s="681"/>
      <c r="J176" s="46"/>
      <c r="K176" s="46"/>
      <c r="L176" s="46"/>
      <c r="M176" s="46"/>
      <c r="N176" s="46"/>
      <c r="O176" s="46"/>
      <c r="P176" s="46"/>
      <c r="Q176" s="46"/>
      <c r="R176" s="73"/>
      <c r="S176" s="46"/>
      <c r="T176" s="72"/>
      <c r="U176" s="72"/>
      <c r="V176" s="72"/>
      <c r="X176" s="64"/>
      <c r="Y176" s="64"/>
      <c r="AD176" s="64"/>
    </row>
    <row r="177" spans="1:30" s="51" customFormat="1" ht="13.8">
      <c r="A177" s="570" t="s">
        <v>459</v>
      </c>
      <c r="B177" s="570"/>
      <c r="C177" s="570"/>
      <c r="D177" s="570"/>
      <c r="E177" s="570"/>
      <c r="F177" s="570"/>
      <c r="G177" s="570"/>
      <c r="H177" s="713">
        <f>R39</f>
        <v>2</v>
      </c>
      <c r="I177" s="713"/>
      <c r="J177" s="46"/>
      <c r="K177" s="46"/>
      <c r="L177" s="46"/>
      <c r="M177" s="46"/>
      <c r="N177" s="46"/>
      <c r="O177" s="46"/>
      <c r="P177" s="46"/>
      <c r="Q177" s="46"/>
      <c r="R177" s="73"/>
      <c r="S177" s="46"/>
      <c r="T177" s="72"/>
      <c r="U177" s="72"/>
      <c r="V177" s="72"/>
      <c r="X177" s="64"/>
      <c r="Y177" s="64"/>
      <c r="AD177" s="64"/>
    </row>
    <row r="178" spans="1:30" s="51" customFormat="1" ht="18">
      <c r="A178" s="683" t="s">
        <v>194</v>
      </c>
      <c r="B178" s="683"/>
      <c r="C178" s="683"/>
      <c r="D178" s="683"/>
      <c r="E178" s="683"/>
      <c r="F178" s="683"/>
      <c r="G178" s="683"/>
      <c r="H178" s="575">
        <f>H176*H177</f>
        <v>1800</v>
      </c>
      <c r="I178" s="575"/>
      <c r="J178" s="410"/>
      <c r="K178" s="46"/>
      <c r="L178" s="46"/>
      <c r="M178" s="46"/>
      <c r="N178" s="46"/>
      <c r="O178" s="46"/>
      <c r="P178" s="46"/>
      <c r="Q178" s="46"/>
      <c r="R178" s="73"/>
      <c r="S178" s="46"/>
      <c r="T178" s="72"/>
      <c r="U178" s="72"/>
      <c r="V178" s="72"/>
      <c r="X178" s="64"/>
      <c r="Y178" s="64"/>
      <c r="AD178" s="64"/>
    </row>
    <row r="179" spans="1:30" s="51" customFormat="1" ht="18">
      <c r="A179" s="102"/>
      <c r="B179" s="103"/>
      <c r="C179" s="104"/>
      <c r="D179" s="105"/>
      <c r="E179" s="104"/>
      <c r="F179" s="106"/>
      <c r="G179" s="107"/>
      <c r="H179" s="108"/>
      <c r="I179" s="108"/>
      <c r="J179" s="108"/>
      <c r="K179" s="46"/>
      <c r="L179" s="46"/>
      <c r="M179" s="46"/>
      <c r="N179" s="46"/>
      <c r="O179" s="46"/>
      <c r="P179" s="46"/>
      <c r="Q179" s="46"/>
      <c r="R179" s="73"/>
      <c r="S179" s="46"/>
      <c r="T179" s="72"/>
      <c r="U179" s="72"/>
      <c r="V179" s="72"/>
      <c r="X179" s="64"/>
      <c r="Y179" s="64"/>
      <c r="AD179" s="64"/>
    </row>
    <row r="180" spans="1:30" s="51" customFormat="1" ht="13.8">
      <c r="A180" s="714" t="s">
        <v>169</v>
      </c>
      <c r="B180" s="714"/>
      <c r="C180" s="714"/>
      <c r="D180" s="714"/>
      <c r="E180" s="714"/>
      <c r="F180" s="714"/>
      <c r="G180" s="714"/>
      <c r="H180" s="714"/>
      <c r="I180" s="714"/>
      <c r="J180" s="714"/>
      <c r="K180" s="714"/>
      <c r="L180" s="714"/>
      <c r="M180" s="714"/>
      <c r="N180" s="714"/>
      <c r="O180" s="714"/>
      <c r="P180" s="714"/>
      <c r="Q180" s="714"/>
      <c r="R180" s="73"/>
      <c r="S180" s="46"/>
      <c r="T180" s="72"/>
      <c r="U180" s="72"/>
      <c r="V180" s="72"/>
      <c r="X180" s="64"/>
      <c r="Y180" s="64"/>
      <c r="AD180" s="64"/>
    </row>
    <row r="181" spans="1:30" s="51" customFormat="1" ht="13.8">
      <c r="A181" s="648" t="s">
        <v>569</v>
      </c>
      <c r="B181" s="648"/>
      <c r="C181" s="648"/>
      <c r="D181" s="648"/>
      <c r="E181" s="648"/>
      <c r="F181" s="648"/>
      <c r="G181" s="648"/>
      <c r="H181" s="648"/>
      <c r="I181" s="658" t="s">
        <v>24</v>
      </c>
      <c r="J181" s="658"/>
      <c r="K181" s="658" t="s">
        <v>36</v>
      </c>
      <c r="L181" s="658"/>
      <c r="M181" s="658" t="s">
        <v>570</v>
      </c>
      <c r="N181" s="658"/>
      <c r="O181" s="715" t="s">
        <v>606</v>
      </c>
      <c r="P181" s="716"/>
      <c r="Q181" s="717"/>
      <c r="R181" s="73"/>
      <c r="S181" s="46"/>
      <c r="T181" s="72"/>
      <c r="U181" s="72"/>
      <c r="V181" s="72"/>
      <c r="X181" s="64"/>
      <c r="Y181" s="64"/>
      <c r="AD181" s="64"/>
    </row>
    <row r="182" spans="1:30" s="51" customFormat="1" ht="13.8">
      <c r="A182" s="570" t="s">
        <v>197</v>
      </c>
      <c r="B182" s="570"/>
      <c r="C182" s="570"/>
      <c r="D182" s="570"/>
      <c r="E182" s="570"/>
      <c r="F182" s="570"/>
      <c r="G182" s="570"/>
      <c r="H182" s="570"/>
      <c r="I182" s="680" t="s">
        <v>577</v>
      </c>
      <c r="J182" s="680"/>
      <c r="K182" s="658">
        <v>1</v>
      </c>
      <c r="L182" s="658"/>
      <c r="M182" s="681">
        <f>G142</f>
        <v>243950</v>
      </c>
      <c r="N182" s="681"/>
      <c r="O182" s="682">
        <f t="shared" ref="O182:O187" si="6">M182*K182</f>
        <v>243950</v>
      </c>
      <c r="P182" s="680"/>
      <c r="Q182" s="680"/>
      <c r="R182" s="73"/>
      <c r="S182" s="46"/>
      <c r="T182" s="72"/>
      <c r="U182" s="72"/>
      <c r="V182" s="72"/>
      <c r="X182" s="64"/>
      <c r="Y182" s="64"/>
      <c r="AD182" s="64"/>
    </row>
    <row r="183" spans="1:30" s="51" customFormat="1" ht="13.8">
      <c r="A183" s="570" t="s">
        <v>170</v>
      </c>
      <c r="B183" s="570"/>
      <c r="C183" s="570"/>
      <c r="D183" s="570"/>
      <c r="E183" s="570"/>
      <c r="F183" s="570"/>
      <c r="G183" s="570"/>
      <c r="H183" s="570"/>
      <c r="I183" s="680" t="s">
        <v>542</v>
      </c>
      <c r="J183" s="680"/>
      <c r="K183" s="704">
        <v>0.01</v>
      </c>
      <c r="L183" s="658"/>
      <c r="M183" s="681">
        <f>M182</f>
        <v>243950</v>
      </c>
      <c r="N183" s="681"/>
      <c r="O183" s="682">
        <f t="shared" si="6"/>
        <v>2439.5</v>
      </c>
      <c r="P183" s="680"/>
      <c r="Q183" s="680"/>
      <c r="R183" s="73"/>
      <c r="S183" s="46"/>
      <c r="T183" s="72"/>
      <c r="U183" s="72"/>
      <c r="V183" s="72"/>
      <c r="X183" s="64"/>
      <c r="Y183" s="64"/>
      <c r="AD183" s="64"/>
    </row>
    <row r="184" spans="1:30" s="51" customFormat="1" ht="13.8">
      <c r="A184" s="570" t="s">
        <v>171</v>
      </c>
      <c r="B184" s="570"/>
      <c r="C184" s="570"/>
      <c r="D184" s="570"/>
      <c r="E184" s="570"/>
      <c r="F184" s="570"/>
      <c r="G184" s="570"/>
      <c r="H184" s="570"/>
      <c r="I184" s="680" t="s">
        <v>577</v>
      </c>
      <c r="J184" s="680"/>
      <c r="K184" s="658">
        <v>1</v>
      </c>
      <c r="L184" s="658"/>
      <c r="M184" s="681">
        <v>102.41</v>
      </c>
      <c r="N184" s="681"/>
      <c r="O184" s="682">
        <f t="shared" si="6"/>
        <v>102.41</v>
      </c>
      <c r="P184" s="680"/>
      <c r="Q184" s="680"/>
      <c r="R184" s="73"/>
      <c r="S184" s="46"/>
      <c r="T184" s="72"/>
      <c r="U184" s="72"/>
      <c r="V184" s="72"/>
      <c r="X184" s="64"/>
      <c r="Y184" s="64"/>
      <c r="AD184" s="64"/>
    </row>
    <row r="185" spans="1:30" s="51" customFormat="1" ht="13.8">
      <c r="A185" s="570" t="s">
        <v>172</v>
      </c>
      <c r="B185" s="570"/>
      <c r="C185" s="570"/>
      <c r="D185" s="570"/>
      <c r="E185" s="570"/>
      <c r="F185" s="570"/>
      <c r="G185" s="570"/>
      <c r="H185" s="570"/>
      <c r="I185" s="680" t="s">
        <v>577</v>
      </c>
      <c r="J185" s="680"/>
      <c r="K185" s="658">
        <v>1</v>
      </c>
      <c r="L185" s="658"/>
      <c r="M185" s="681">
        <v>16.77</v>
      </c>
      <c r="N185" s="681"/>
      <c r="O185" s="682">
        <f t="shared" si="6"/>
        <v>16.77</v>
      </c>
      <c r="P185" s="680"/>
      <c r="Q185" s="680"/>
      <c r="R185" s="73"/>
      <c r="S185" s="46"/>
      <c r="T185" s="72"/>
      <c r="U185" s="72"/>
      <c r="V185" s="72"/>
      <c r="X185" s="64"/>
      <c r="Y185" s="64"/>
      <c r="AD185" s="64"/>
    </row>
    <row r="186" spans="1:30" s="51" customFormat="1" ht="13.8">
      <c r="A186" s="570" t="s">
        <v>315</v>
      </c>
      <c r="B186" s="570"/>
      <c r="C186" s="570"/>
      <c r="D186" s="570"/>
      <c r="E186" s="570"/>
      <c r="F186" s="570"/>
      <c r="G186" s="570"/>
      <c r="H186" s="570"/>
      <c r="I186" s="680" t="s">
        <v>577</v>
      </c>
      <c r="J186" s="680"/>
      <c r="K186" s="658">
        <v>1</v>
      </c>
      <c r="L186" s="658"/>
      <c r="M186" s="681">
        <v>3500</v>
      </c>
      <c r="N186" s="681"/>
      <c r="O186" s="682">
        <f t="shared" si="6"/>
        <v>3500</v>
      </c>
      <c r="P186" s="680"/>
      <c r="Q186" s="680"/>
      <c r="R186" s="73"/>
      <c r="S186" s="46"/>
      <c r="T186" s="72"/>
      <c r="U186" s="72"/>
      <c r="V186" s="72"/>
      <c r="X186" s="64"/>
      <c r="Y186" s="64"/>
      <c r="AD186" s="64"/>
    </row>
    <row r="187" spans="1:30" s="51" customFormat="1" ht="13.8">
      <c r="A187" s="570" t="s">
        <v>607</v>
      </c>
      <c r="B187" s="570"/>
      <c r="C187" s="570"/>
      <c r="D187" s="570"/>
      <c r="E187" s="570"/>
      <c r="F187" s="570"/>
      <c r="G187" s="570"/>
      <c r="H187" s="570"/>
      <c r="I187" s="680" t="s">
        <v>577</v>
      </c>
      <c r="J187" s="680"/>
      <c r="K187" s="658">
        <v>2</v>
      </c>
      <c r="L187" s="658"/>
      <c r="M187" s="681">
        <f>SUM(O183:Q186)</f>
        <v>6058.68</v>
      </c>
      <c r="N187" s="681"/>
      <c r="O187" s="682">
        <f t="shared" si="6"/>
        <v>12117.36</v>
      </c>
      <c r="P187" s="680"/>
      <c r="Q187" s="680"/>
      <c r="R187" s="73"/>
      <c r="S187" s="46"/>
      <c r="T187" s="72"/>
      <c r="U187" s="72"/>
      <c r="V187" s="72"/>
      <c r="X187" s="64"/>
      <c r="Y187" s="64"/>
      <c r="AD187" s="64"/>
    </row>
    <row r="188" spans="1:30" s="51" customFormat="1" ht="13.8">
      <c r="A188" s="570" t="s">
        <v>608</v>
      </c>
      <c r="B188" s="570"/>
      <c r="C188" s="570"/>
      <c r="D188" s="570"/>
      <c r="E188" s="570"/>
      <c r="F188" s="570"/>
      <c r="G188" s="570"/>
      <c r="H188" s="570"/>
      <c r="I188" s="680" t="s">
        <v>577</v>
      </c>
      <c r="J188" s="680"/>
      <c r="K188" s="658">
        <v>12</v>
      </c>
      <c r="L188" s="658"/>
      <c r="M188" s="681"/>
      <c r="N188" s="681"/>
      <c r="O188" s="682">
        <f>O187/K188</f>
        <v>1009.7800000000001</v>
      </c>
      <c r="P188" s="680"/>
      <c r="Q188" s="680"/>
      <c r="R188" s="73"/>
      <c r="S188" s="46"/>
      <c r="T188" s="72"/>
      <c r="U188" s="72"/>
      <c r="V188" s="72"/>
      <c r="X188" s="64"/>
      <c r="Y188" s="64"/>
      <c r="AD188" s="64"/>
    </row>
    <row r="189" spans="1:30" s="51" customFormat="1" ht="18">
      <c r="A189" s="683" t="s">
        <v>196</v>
      </c>
      <c r="B189" s="683"/>
      <c r="C189" s="683"/>
      <c r="D189" s="683"/>
      <c r="E189" s="683"/>
      <c r="F189" s="683"/>
      <c r="G189" s="683"/>
      <c r="H189" s="683"/>
      <c r="I189" s="683"/>
      <c r="J189" s="683"/>
      <c r="K189" s="683"/>
      <c r="L189" s="683"/>
      <c r="M189" s="683"/>
      <c r="N189" s="683"/>
      <c r="O189" s="657">
        <f>O188</f>
        <v>1009.7800000000001</v>
      </c>
      <c r="P189" s="575"/>
      <c r="Q189" s="575"/>
      <c r="R189" s="73"/>
      <c r="S189" s="46"/>
      <c r="T189" s="72"/>
      <c r="U189" s="72"/>
      <c r="V189" s="72"/>
      <c r="X189" s="64"/>
      <c r="Y189" s="64"/>
      <c r="AD189" s="64"/>
    </row>
    <row r="190" spans="1:30">
      <c r="A190" s="78"/>
      <c r="B190" s="51"/>
      <c r="C190" s="79"/>
      <c r="D190" s="79"/>
      <c r="E190" s="45"/>
      <c r="F190" s="46"/>
      <c r="G190" s="46"/>
      <c r="H190" s="46"/>
      <c r="I190" s="46"/>
      <c r="J190" s="46"/>
      <c r="K190" s="46"/>
      <c r="L190" s="46"/>
      <c r="M190" s="46"/>
      <c r="N190" s="46"/>
      <c r="O190" s="46"/>
      <c r="P190" s="46"/>
      <c r="Q190" s="46"/>
      <c r="R190" s="73"/>
      <c r="S190" s="46"/>
    </row>
    <row r="191" spans="1:30" s="51" customFormat="1" ht="13.8">
      <c r="A191" s="684" t="s">
        <v>173</v>
      </c>
      <c r="B191" s="684"/>
      <c r="C191" s="684"/>
      <c r="D191" s="685" t="s">
        <v>208</v>
      </c>
      <c r="E191" s="685"/>
      <c r="F191" s="685"/>
      <c r="G191" s="685"/>
      <c r="H191" s="685"/>
      <c r="I191" s="686">
        <f>G145</f>
        <v>411685</v>
      </c>
      <c r="J191" s="686"/>
      <c r="K191" s="686"/>
      <c r="L191" s="46"/>
      <c r="M191" s="46"/>
      <c r="N191" s="46"/>
      <c r="O191" s="46"/>
      <c r="P191" s="46"/>
      <c r="Q191" s="46"/>
      <c r="R191" s="73"/>
      <c r="S191" s="46"/>
      <c r="T191" s="72"/>
      <c r="U191" s="72"/>
      <c r="V191" s="72"/>
      <c r="X191" s="64"/>
      <c r="Y191" s="64"/>
      <c r="AD191" s="64"/>
    </row>
    <row r="192" spans="1:30" s="51" customFormat="1" ht="13.8">
      <c r="A192" s="684"/>
      <c r="B192" s="684"/>
      <c r="C192" s="684"/>
      <c r="D192" s="685" t="s">
        <v>201</v>
      </c>
      <c r="E192" s="685"/>
      <c r="F192" s="685"/>
      <c r="G192" s="685"/>
      <c r="H192" s="685"/>
      <c r="I192" s="687">
        <f>K187</f>
        <v>2</v>
      </c>
      <c r="J192" s="687"/>
      <c r="K192" s="687"/>
      <c r="L192" s="46"/>
      <c r="M192" s="46"/>
      <c r="N192" s="46"/>
      <c r="O192" s="46"/>
      <c r="P192" s="46"/>
      <c r="Q192" s="46"/>
      <c r="R192" s="73"/>
      <c r="S192" s="46"/>
      <c r="T192" s="72"/>
      <c r="U192" s="72"/>
      <c r="V192" s="72"/>
      <c r="X192" s="64"/>
      <c r="Y192" s="64"/>
      <c r="AD192" s="64"/>
    </row>
    <row r="193" spans="1:30" s="51" customFormat="1" ht="13.8">
      <c r="A193" s="684"/>
      <c r="B193" s="684"/>
      <c r="C193" s="684"/>
      <c r="D193" s="685" t="s">
        <v>198</v>
      </c>
      <c r="E193" s="685"/>
      <c r="F193" s="685"/>
      <c r="G193" s="685"/>
      <c r="H193" s="685"/>
      <c r="I193" s="688">
        <v>0.3</v>
      </c>
      <c r="J193" s="688"/>
      <c r="K193" s="688"/>
      <c r="L193" s="46"/>
      <c r="M193" s="46"/>
      <c r="N193" s="46"/>
      <c r="O193" s="46"/>
      <c r="P193" s="46"/>
      <c r="Q193" s="46"/>
      <c r="R193" s="73"/>
      <c r="S193" s="46"/>
      <c r="T193" s="72"/>
      <c r="U193" s="72"/>
      <c r="V193" s="72"/>
      <c r="X193" s="64"/>
      <c r="Y193" s="64"/>
      <c r="AD193" s="64"/>
    </row>
    <row r="194" spans="1:30" s="51" customFormat="1" ht="13.8">
      <c r="A194" s="684"/>
      <c r="B194" s="684"/>
      <c r="C194" s="684"/>
      <c r="D194" s="685" t="s">
        <v>199</v>
      </c>
      <c r="E194" s="685"/>
      <c r="F194" s="685"/>
      <c r="G194" s="685"/>
      <c r="H194" s="685"/>
      <c r="I194" s="687">
        <f>60*200</f>
        <v>12000</v>
      </c>
      <c r="J194" s="687"/>
      <c r="K194" s="687"/>
      <c r="L194" s="46"/>
      <c r="M194" s="46"/>
      <c r="N194" s="46"/>
      <c r="O194" s="46"/>
      <c r="P194" s="46"/>
      <c r="Q194" s="46"/>
      <c r="R194" s="73"/>
      <c r="S194" s="46"/>
      <c r="T194" s="72"/>
      <c r="U194" s="72"/>
      <c r="V194" s="72"/>
      <c r="X194" s="64"/>
      <c r="Y194" s="64"/>
      <c r="AD194" s="64"/>
    </row>
    <row r="195" spans="1:30" s="51" customFormat="1" ht="13.8">
      <c r="A195" s="684"/>
      <c r="B195" s="684"/>
      <c r="C195" s="684"/>
      <c r="D195" s="685" t="s">
        <v>200</v>
      </c>
      <c r="E195" s="685"/>
      <c r="F195" s="685"/>
      <c r="G195" s="685"/>
      <c r="H195" s="685"/>
      <c r="I195" s="687">
        <v>400</v>
      </c>
      <c r="J195" s="687"/>
      <c r="K195" s="687"/>
      <c r="L195" s="46"/>
      <c r="M195" s="46"/>
      <c r="N195" s="46"/>
      <c r="O195" s="46"/>
      <c r="P195" s="46"/>
      <c r="Q195" s="46"/>
      <c r="R195" s="73"/>
      <c r="S195" s="46"/>
      <c r="T195" s="72"/>
      <c r="U195" s="72"/>
      <c r="V195" s="72"/>
      <c r="X195" s="64"/>
      <c r="Y195" s="64"/>
      <c r="AD195" s="64"/>
    </row>
    <row r="196" spans="1:30" s="51" customFormat="1" ht="18">
      <c r="A196" s="684"/>
      <c r="B196" s="684"/>
      <c r="C196" s="684"/>
      <c r="D196" s="689" t="s">
        <v>609</v>
      </c>
      <c r="E196" s="689"/>
      <c r="F196" s="689"/>
      <c r="G196" s="689"/>
      <c r="H196" s="689"/>
      <c r="I196" s="657">
        <f>ROUND(I191*I192*(1-I193)/I194,2)*I195</f>
        <v>19212</v>
      </c>
      <c r="J196" s="657"/>
      <c r="K196" s="657"/>
      <c r="L196" s="46"/>
      <c r="M196" s="432"/>
      <c r="N196" s="46"/>
      <c r="O196" s="46"/>
      <c r="P196" s="46"/>
      <c r="Q196" s="46"/>
      <c r="R196" s="73"/>
      <c r="S196" s="46"/>
      <c r="T196" s="72"/>
      <c r="U196" s="72">
        <f>400*60</f>
        <v>24000</v>
      </c>
      <c r="V196" s="72"/>
      <c r="X196" s="64"/>
      <c r="Y196" s="64"/>
      <c r="AD196" s="64"/>
    </row>
    <row r="197" spans="1:30">
      <c r="A197" s="89"/>
      <c r="B197" s="90"/>
      <c r="C197" s="90"/>
      <c r="D197" s="90"/>
      <c r="E197" s="109"/>
      <c r="F197" s="90"/>
      <c r="G197" s="46"/>
      <c r="H197" s="46"/>
      <c r="I197" s="46"/>
      <c r="J197" s="46"/>
      <c r="K197" s="46"/>
      <c r="L197" s="46"/>
      <c r="M197" s="46"/>
      <c r="N197" s="46"/>
      <c r="O197" s="46"/>
      <c r="P197" s="46"/>
      <c r="Q197" s="46"/>
      <c r="R197" s="73"/>
      <c r="S197" s="46"/>
    </row>
    <row r="198" spans="1:30" s="51" customFormat="1" ht="18">
      <c r="A198" s="667" t="s">
        <v>207</v>
      </c>
      <c r="B198" s="667"/>
      <c r="C198" s="667"/>
      <c r="D198" s="667"/>
      <c r="E198" s="667"/>
      <c r="F198" s="667"/>
      <c r="G198" s="667"/>
      <c r="H198" s="667"/>
      <c r="I198" s="667"/>
      <c r="J198" s="108"/>
      <c r="K198" s="46"/>
      <c r="L198" s="46"/>
      <c r="M198" s="46"/>
      <c r="N198" s="46"/>
      <c r="O198" s="46"/>
      <c r="P198" s="46"/>
      <c r="Q198" s="46"/>
      <c r="R198" s="73"/>
      <c r="S198" s="46"/>
      <c r="T198" s="72"/>
      <c r="U198" s="72"/>
      <c r="V198" s="72"/>
      <c r="X198" s="64"/>
      <c r="Y198" s="64"/>
      <c r="AD198" s="64"/>
    </row>
    <row r="199" spans="1:30" s="51" customFormat="1" ht="24" customHeight="1">
      <c r="A199" s="668" t="s">
        <v>611</v>
      </c>
      <c r="B199" s="668"/>
      <c r="C199" s="668"/>
      <c r="D199" s="668"/>
      <c r="E199" s="668"/>
      <c r="F199" s="668"/>
      <c r="G199" s="411" t="s">
        <v>202</v>
      </c>
      <c r="H199" s="412"/>
      <c r="I199" s="412"/>
      <c r="J199" s="108"/>
      <c r="K199" s="46"/>
      <c r="L199" s="46"/>
      <c r="M199" s="46"/>
      <c r="N199" s="46"/>
      <c r="O199" s="46"/>
      <c r="P199" s="46"/>
      <c r="Q199" s="46"/>
      <c r="R199" s="73"/>
      <c r="S199" s="46"/>
      <c r="T199" s="72"/>
      <c r="U199" s="72"/>
      <c r="V199" s="72"/>
      <c r="X199" s="64"/>
      <c r="Y199" s="64"/>
      <c r="AD199" s="64"/>
    </row>
    <row r="200" spans="1:30" s="51" customFormat="1" ht="18">
      <c r="A200" s="660" t="s">
        <v>208</v>
      </c>
      <c r="B200" s="660"/>
      <c r="C200" s="660"/>
      <c r="D200" s="660"/>
      <c r="E200" s="660"/>
      <c r="F200" s="660"/>
      <c r="G200" s="669">
        <f>I191</f>
        <v>411685</v>
      </c>
      <c r="H200" s="669"/>
      <c r="I200" s="669"/>
      <c r="J200" s="108"/>
      <c r="K200" s="46"/>
      <c r="L200" s="46"/>
      <c r="M200" s="46"/>
      <c r="N200" s="46"/>
      <c r="O200" s="46"/>
      <c r="P200" s="46"/>
      <c r="Q200" s="46"/>
      <c r="R200" s="73"/>
      <c r="S200" s="46"/>
      <c r="T200" s="72"/>
      <c r="U200" s="72"/>
      <c r="V200" s="72"/>
      <c r="X200" s="64"/>
      <c r="Y200" s="64"/>
      <c r="AD200" s="64"/>
    </row>
    <row r="201" spans="1:30" s="51" customFormat="1" ht="18">
      <c r="A201" s="660" t="s">
        <v>201</v>
      </c>
      <c r="B201" s="660"/>
      <c r="C201" s="660"/>
      <c r="D201" s="660"/>
      <c r="E201" s="660"/>
      <c r="F201" s="660"/>
      <c r="G201" s="670">
        <f>I192</f>
        <v>2</v>
      </c>
      <c r="H201" s="670"/>
      <c r="I201" s="670"/>
      <c r="J201" s="108"/>
      <c r="K201" s="46"/>
      <c r="L201" s="46"/>
      <c r="M201" s="46"/>
      <c r="N201" s="46"/>
      <c r="O201" s="46"/>
      <c r="P201" s="46"/>
      <c r="Q201" s="46"/>
      <c r="R201" s="73"/>
      <c r="S201" s="46"/>
      <c r="T201" s="72"/>
      <c r="U201" s="72"/>
      <c r="V201" s="72"/>
      <c r="X201" s="64"/>
      <c r="Y201" s="64"/>
      <c r="AD201" s="64"/>
    </row>
    <row r="202" spans="1:30" s="51" customFormat="1" ht="18">
      <c r="A202" s="660" t="s">
        <v>203</v>
      </c>
      <c r="B202" s="660"/>
      <c r="C202" s="660"/>
      <c r="D202" s="660"/>
      <c r="E202" s="660"/>
      <c r="F202" s="660"/>
      <c r="G202" s="671">
        <v>0.3</v>
      </c>
      <c r="H202" s="671"/>
      <c r="I202" s="671"/>
      <c r="J202" s="108"/>
      <c r="K202" s="46"/>
      <c r="L202" s="46"/>
      <c r="M202" s="46"/>
      <c r="N202" s="46"/>
      <c r="O202" s="46"/>
      <c r="P202" s="46"/>
      <c r="Q202" s="46"/>
      <c r="R202" s="73"/>
      <c r="S202" s="46"/>
      <c r="T202" s="72"/>
      <c r="U202" s="72"/>
      <c r="V202" s="72"/>
      <c r="X202" s="64"/>
      <c r="Y202" s="64"/>
      <c r="AD202" s="64"/>
    </row>
    <row r="203" spans="1:30" s="51" customFormat="1" ht="18">
      <c r="A203" s="660" t="s">
        <v>204</v>
      </c>
      <c r="B203" s="660"/>
      <c r="C203" s="660"/>
      <c r="D203" s="660"/>
      <c r="E203" s="660"/>
      <c r="F203" s="660"/>
      <c r="G203" s="672">
        <v>2.5</v>
      </c>
      <c r="H203" s="672"/>
      <c r="I203" s="672"/>
      <c r="J203" s="108"/>
      <c r="K203" s="46"/>
      <c r="L203" s="46"/>
      <c r="M203" s="46"/>
      <c r="N203" s="46"/>
      <c r="O203" s="46"/>
      <c r="P203" s="46"/>
      <c r="Q203" s="46"/>
      <c r="R203" s="73"/>
      <c r="S203" s="46"/>
      <c r="T203" s="72"/>
      <c r="U203" s="72"/>
      <c r="V203" s="72"/>
      <c r="X203" s="64"/>
      <c r="Y203" s="64"/>
      <c r="AD203" s="64"/>
    </row>
    <row r="204" spans="1:30" s="51" customFormat="1" ht="18">
      <c r="A204" s="660" t="s">
        <v>205</v>
      </c>
      <c r="B204" s="660"/>
      <c r="C204" s="660"/>
      <c r="D204" s="660"/>
      <c r="E204" s="660"/>
      <c r="F204" s="660"/>
      <c r="G204" s="671">
        <v>0.12</v>
      </c>
      <c r="H204" s="671"/>
      <c r="I204" s="671"/>
      <c r="J204" s="108"/>
      <c r="K204" s="46"/>
      <c r="L204" s="46"/>
      <c r="M204" s="46"/>
      <c r="N204" s="46"/>
      <c r="O204" s="46"/>
      <c r="P204" s="46"/>
      <c r="Q204" s="46"/>
      <c r="R204" s="73"/>
      <c r="S204" s="46"/>
      <c r="T204" s="72"/>
      <c r="U204" s="72"/>
      <c r="V204" s="72"/>
      <c r="X204" s="64"/>
      <c r="Y204" s="64"/>
      <c r="AD204" s="64"/>
    </row>
    <row r="205" spans="1:30" s="51" customFormat="1" ht="18">
      <c r="A205" s="660" t="s">
        <v>206</v>
      </c>
      <c r="B205" s="660"/>
      <c r="C205" s="660"/>
      <c r="D205" s="660"/>
      <c r="E205" s="660"/>
      <c r="F205" s="660"/>
      <c r="G205" s="673">
        <f>((2+(G203-1)*(G202+1))/(24*G203))*G204</f>
        <v>7.9000000000000008E-3</v>
      </c>
      <c r="H205" s="673"/>
      <c r="I205" s="673"/>
      <c r="J205" s="108"/>
      <c r="K205" s="46"/>
      <c r="L205" s="46"/>
      <c r="M205" s="46"/>
      <c r="N205" s="46"/>
      <c r="O205" s="46"/>
      <c r="P205" s="46"/>
      <c r="Q205" s="46"/>
      <c r="R205" s="73"/>
      <c r="S205" s="46"/>
      <c r="T205" s="72"/>
      <c r="U205" s="72"/>
      <c r="V205" s="72"/>
      <c r="X205" s="64"/>
      <c r="Y205" s="64"/>
      <c r="AD205" s="64"/>
    </row>
    <row r="206" spans="1:30" s="51" customFormat="1" ht="18">
      <c r="A206" s="674" t="s">
        <v>610</v>
      </c>
      <c r="B206" s="674"/>
      <c r="C206" s="674"/>
      <c r="D206" s="674"/>
      <c r="E206" s="674"/>
      <c r="F206" s="674"/>
      <c r="G206" s="575">
        <f>ROUND(G200*G201*G205,2)</f>
        <v>6504.62</v>
      </c>
      <c r="H206" s="575"/>
      <c r="I206" s="575"/>
      <c r="J206" s="108"/>
      <c r="K206" s="46"/>
      <c r="L206" s="46"/>
      <c r="M206" s="46"/>
      <c r="N206" s="46"/>
      <c r="O206" s="46"/>
      <c r="P206" s="46"/>
      <c r="Q206" s="46"/>
      <c r="R206" s="73"/>
      <c r="S206" s="46"/>
      <c r="T206" s="72"/>
      <c r="U206" s="72"/>
      <c r="V206" s="72"/>
      <c r="X206" s="64"/>
      <c r="Y206" s="64"/>
      <c r="AD206" s="64"/>
    </row>
    <row r="207" spans="1:30" ht="18">
      <c r="A207" s="102"/>
      <c r="B207" s="103"/>
      <c r="C207" s="104"/>
      <c r="D207" s="105"/>
      <c r="E207" s="104"/>
      <c r="F207" s="106"/>
      <c r="G207" s="107"/>
      <c r="H207" s="108"/>
      <c r="I207" s="108"/>
      <c r="J207" s="108"/>
      <c r="K207" s="46"/>
      <c r="L207" s="46"/>
      <c r="M207" s="46"/>
      <c r="N207" s="46"/>
      <c r="O207" s="46"/>
      <c r="P207" s="46"/>
      <c r="Q207" s="46"/>
      <c r="R207" s="73"/>
      <c r="S207" s="46"/>
    </row>
    <row r="208" spans="1:30" s="51" customFormat="1" ht="32.25" customHeight="1">
      <c r="A208" s="675" t="s">
        <v>214</v>
      </c>
      <c r="B208" s="675"/>
      <c r="C208" s="675"/>
      <c r="D208" s="675"/>
      <c r="E208" s="675"/>
      <c r="F208" s="675"/>
      <c r="G208" s="675"/>
      <c r="H208" s="675"/>
      <c r="I208" s="108"/>
      <c r="O208" s="46"/>
      <c r="P208" s="46"/>
      <c r="Q208" s="46"/>
      <c r="R208" s="73"/>
      <c r="S208" s="46"/>
      <c r="T208" s="72"/>
      <c r="U208" s="72"/>
      <c r="V208" s="72"/>
      <c r="X208" s="64"/>
      <c r="Y208" s="64"/>
      <c r="AD208" s="64"/>
    </row>
    <row r="209" spans="1:30" s="51" customFormat="1" ht="18">
      <c r="A209" s="660" t="s">
        <v>213</v>
      </c>
      <c r="B209" s="660"/>
      <c r="C209" s="660"/>
      <c r="D209" s="660"/>
      <c r="E209" s="660"/>
      <c r="F209" s="660"/>
      <c r="G209" s="669">
        <v>150</v>
      </c>
      <c r="H209" s="669"/>
      <c r="I209" s="108"/>
      <c r="O209" s="46"/>
      <c r="P209" s="46"/>
      <c r="Q209" s="46"/>
      <c r="R209" s="73"/>
      <c r="S209" s="46"/>
      <c r="T209" s="72"/>
      <c r="U209" s="72"/>
      <c r="V209" s="72"/>
      <c r="X209" s="64"/>
      <c r="Y209" s="64"/>
      <c r="AD209" s="64"/>
    </row>
    <row r="210" spans="1:30" s="51" customFormat="1" ht="18">
      <c r="A210" s="660" t="s">
        <v>36</v>
      </c>
      <c r="B210" s="661"/>
      <c r="C210" s="661"/>
      <c r="D210" s="661"/>
      <c r="E210" s="661"/>
      <c r="F210" s="661"/>
      <c r="G210" s="676">
        <f>G201</f>
        <v>2</v>
      </c>
      <c r="H210" s="677"/>
      <c r="I210" s="108"/>
      <c r="O210" s="46"/>
      <c r="P210" s="46"/>
      <c r="Q210" s="46"/>
      <c r="R210" s="73"/>
      <c r="S210" s="46"/>
      <c r="T210" s="72"/>
      <c r="U210" s="72"/>
      <c r="V210" s="72"/>
      <c r="X210" s="64"/>
      <c r="Y210" s="64"/>
      <c r="AD210" s="64"/>
    </row>
    <row r="211" spans="1:30" s="51" customFormat="1" ht="18">
      <c r="A211" s="678" t="s">
        <v>612</v>
      </c>
      <c r="B211" s="679"/>
      <c r="C211" s="679"/>
      <c r="D211" s="679"/>
      <c r="E211" s="679"/>
      <c r="F211" s="679"/>
      <c r="G211" s="657">
        <f>G210*G209</f>
        <v>300</v>
      </c>
      <c r="H211" s="657"/>
      <c r="I211" s="108"/>
      <c r="J211" s="108"/>
      <c r="K211" s="46"/>
      <c r="L211" s="46"/>
      <c r="M211" s="46"/>
      <c r="N211" s="46"/>
      <c r="O211" s="46"/>
      <c r="P211" s="46"/>
      <c r="Q211" s="46"/>
      <c r="R211" s="73"/>
      <c r="S211" s="46"/>
      <c r="T211" s="72"/>
      <c r="U211" s="72"/>
      <c r="V211" s="72"/>
      <c r="X211" s="64"/>
      <c r="Y211" s="64"/>
      <c r="AD211" s="64"/>
    </row>
    <row r="212" spans="1:30" ht="18">
      <c r="A212" s="102"/>
      <c r="B212" s="103"/>
      <c r="C212" s="104"/>
      <c r="D212" s="105"/>
      <c r="E212" s="104"/>
      <c r="F212" s="106"/>
      <c r="G212" s="107"/>
      <c r="H212" s="108"/>
      <c r="I212" s="108"/>
      <c r="J212" s="108"/>
      <c r="K212" s="46"/>
      <c r="L212" s="46"/>
      <c r="M212" s="46"/>
      <c r="N212" s="46"/>
      <c r="O212" s="46"/>
      <c r="P212" s="46"/>
      <c r="Q212" s="46"/>
      <c r="R212" s="73"/>
      <c r="S212" s="46"/>
    </row>
    <row r="213" spans="1:30" s="51" customFormat="1" ht="13.8">
      <c r="A213" s="599" t="s">
        <v>40</v>
      </c>
      <c r="B213" s="599"/>
      <c r="C213" s="599"/>
      <c r="D213" s="599"/>
      <c r="E213" s="599"/>
      <c r="F213" s="599"/>
      <c r="G213" s="599"/>
      <c r="H213" s="599"/>
      <c r="I213" s="599"/>
      <c r="J213" s="599"/>
      <c r="K213" s="46"/>
      <c r="L213" s="46"/>
      <c r="M213" s="46"/>
      <c r="N213" s="46"/>
      <c r="O213" s="46"/>
      <c r="P213" s="46"/>
      <c r="Q213" s="46"/>
      <c r="R213" s="73"/>
      <c r="S213" s="46"/>
      <c r="T213" s="72"/>
      <c r="U213" s="72"/>
      <c r="V213" s="72"/>
      <c r="X213" s="64"/>
      <c r="Y213" s="64"/>
      <c r="AD213" s="64"/>
    </row>
    <row r="214" spans="1:30" s="51" customFormat="1" ht="13.8">
      <c r="A214" s="658" t="s">
        <v>209</v>
      </c>
      <c r="B214" s="658"/>
      <c r="C214" s="658"/>
      <c r="D214" s="658"/>
      <c r="E214" s="658"/>
      <c r="F214" s="658"/>
      <c r="G214" s="658"/>
      <c r="H214" s="658"/>
      <c r="I214" s="571">
        <f>'BANCO DE DADOS'!J75</f>
        <v>1890</v>
      </c>
      <c r="J214" s="571"/>
      <c r="K214" s="46"/>
      <c r="L214" s="46"/>
      <c r="M214" s="46"/>
      <c r="N214" s="46"/>
      <c r="O214" s="46"/>
      <c r="P214" s="46"/>
      <c r="Q214" s="46"/>
      <c r="R214" s="73"/>
      <c r="S214" s="46"/>
      <c r="T214" s="72"/>
      <c r="U214" s="72"/>
      <c r="V214" s="72"/>
      <c r="X214" s="64"/>
      <c r="Y214" s="64"/>
      <c r="AD214" s="64"/>
    </row>
    <row r="215" spans="1:30" s="51" customFormat="1" ht="13.8">
      <c r="A215" s="659" t="s">
        <v>384</v>
      </c>
      <c r="B215" s="659"/>
      <c r="C215" s="659"/>
      <c r="D215" s="659"/>
      <c r="E215" s="659"/>
      <c r="F215" s="659"/>
      <c r="G215" s="659"/>
      <c r="H215" s="659"/>
      <c r="I215" s="571">
        <f>'BANCO DE DADOS'!D78</f>
        <v>600</v>
      </c>
      <c r="J215" s="571"/>
      <c r="K215" s="46"/>
      <c r="L215" s="46"/>
      <c r="M215" s="46"/>
      <c r="N215" s="46"/>
      <c r="O215" s="46"/>
      <c r="P215" s="46"/>
      <c r="Q215" s="46"/>
      <c r="R215" s="73"/>
      <c r="S215" s="46"/>
      <c r="T215" s="72"/>
      <c r="U215" s="72"/>
      <c r="V215" s="72"/>
      <c r="X215" s="64"/>
      <c r="Y215" s="64"/>
      <c r="AD215" s="64"/>
    </row>
    <row r="216" spans="1:30" s="51" customFormat="1" ht="18">
      <c r="A216" s="573" t="s">
        <v>210</v>
      </c>
      <c r="B216" s="573"/>
      <c r="C216" s="573"/>
      <c r="D216" s="573"/>
      <c r="E216" s="573"/>
      <c r="F216" s="573"/>
      <c r="G216" s="573"/>
      <c r="H216" s="574">
        <f>SUM(I214:I215)</f>
        <v>2490</v>
      </c>
      <c r="I216" s="575"/>
      <c r="J216" s="575"/>
      <c r="K216" s="46"/>
      <c r="L216" s="46"/>
      <c r="M216" s="46"/>
      <c r="N216" s="46"/>
      <c r="O216" s="46"/>
      <c r="P216" s="46"/>
      <c r="Q216" s="46"/>
      <c r="R216" s="73"/>
      <c r="S216" s="46"/>
      <c r="T216" s="72"/>
      <c r="U216" s="72"/>
      <c r="V216" s="72"/>
      <c r="X216" s="64"/>
      <c r="Y216" s="64"/>
      <c r="AD216" s="64"/>
    </row>
    <row r="217" spans="1:30">
      <c r="A217" s="46"/>
      <c r="B217" s="44"/>
      <c r="C217" s="45"/>
      <c r="D217" s="46"/>
      <c r="E217" s="45"/>
      <c r="F217" s="46"/>
      <c r="G217" s="46"/>
      <c r="H217" s="46"/>
      <c r="I217" s="46"/>
      <c r="J217" s="46"/>
      <c r="K217" s="46"/>
      <c r="L217" s="46"/>
      <c r="M217" s="46"/>
      <c r="N217" s="46"/>
      <c r="O217" s="46"/>
      <c r="P217" s="46"/>
      <c r="Q217" s="46"/>
      <c r="R217" s="73"/>
      <c r="S217" s="46"/>
    </row>
    <row r="218" spans="1:30" s="51" customFormat="1" ht="15.6">
      <c r="A218" s="653" t="s">
        <v>614</v>
      </c>
      <c r="B218" s="653"/>
      <c r="C218" s="653"/>
      <c r="D218" s="653"/>
      <c r="E218" s="653"/>
      <c r="F218" s="653"/>
      <c r="G218" s="653"/>
      <c r="H218" s="653"/>
      <c r="I218" s="653"/>
      <c r="J218" s="653"/>
      <c r="K218" s="653"/>
      <c r="L218" s="653"/>
      <c r="M218" s="653"/>
      <c r="N218" s="653"/>
      <c r="O218" s="46"/>
      <c r="P218" s="46"/>
      <c r="Q218" s="46"/>
      <c r="R218" s="73"/>
      <c r="S218" s="46"/>
      <c r="T218" s="72"/>
      <c r="U218" s="72"/>
      <c r="V218" s="72"/>
      <c r="X218" s="64"/>
      <c r="Y218" s="64"/>
      <c r="AD218" s="64"/>
    </row>
    <row r="219" spans="1:30" s="51" customFormat="1" ht="16.5" customHeight="1">
      <c r="A219" s="648" t="s">
        <v>69</v>
      </c>
      <c r="B219" s="648"/>
      <c r="C219" s="648"/>
      <c r="D219" s="648"/>
      <c r="E219" s="648"/>
      <c r="F219" s="648" t="s">
        <v>24</v>
      </c>
      <c r="G219" s="648"/>
      <c r="H219" s="648" t="s">
        <v>36</v>
      </c>
      <c r="I219" s="648"/>
      <c r="J219" s="648" t="s">
        <v>615</v>
      </c>
      <c r="K219" s="648"/>
      <c r="L219" s="764" t="s">
        <v>195</v>
      </c>
      <c r="M219" s="764"/>
      <c r="N219" s="764"/>
      <c r="O219" s="46"/>
      <c r="P219" s="46"/>
      <c r="Q219" s="46"/>
      <c r="R219" s="73"/>
      <c r="S219" s="46"/>
      <c r="T219" s="72"/>
      <c r="U219" s="72"/>
      <c r="V219" s="72"/>
      <c r="X219" s="64"/>
      <c r="Y219" s="64"/>
      <c r="AD219" s="64"/>
    </row>
    <row r="220" spans="1:30" s="51" customFormat="1" ht="13.8">
      <c r="A220" s="570" t="s">
        <v>43</v>
      </c>
      <c r="B220" s="570"/>
      <c r="C220" s="570"/>
      <c r="D220" s="570"/>
      <c r="E220" s="570"/>
      <c r="F220" s="651" t="s">
        <v>577</v>
      </c>
      <c r="G220" s="652"/>
      <c r="H220" s="662">
        <f>2*4/12</f>
        <v>0.66666666666666663</v>
      </c>
      <c r="I220" s="663"/>
      <c r="J220" s="664">
        <f>'BANCO DE DADOS'!E104</f>
        <v>18.52</v>
      </c>
      <c r="K220" s="664"/>
      <c r="L220" s="723">
        <f>ROUND(H220*J220,2)</f>
        <v>12.35</v>
      </c>
      <c r="M220" s="723"/>
      <c r="N220" s="723"/>
      <c r="O220" s="46"/>
      <c r="P220" s="46"/>
      <c r="Q220" s="46"/>
      <c r="R220" s="73"/>
      <c r="S220" s="46"/>
      <c r="T220" s="72"/>
      <c r="U220" s="72"/>
      <c r="V220" s="72"/>
      <c r="X220" s="64"/>
      <c r="Y220" s="64"/>
      <c r="AD220" s="64"/>
    </row>
    <row r="221" spans="1:30" s="51" customFormat="1" ht="13.8">
      <c r="A221" s="570" t="s">
        <v>44</v>
      </c>
      <c r="B221" s="570"/>
      <c r="C221" s="570"/>
      <c r="D221" s="570"/>
      <c r="E221" s="570"/>
      <c r="F221" s="651" t="s">
        <v>577</v>
      </c>
      <c r="G221" s="652"/>
      <c r="H221" s="662">
        <f>2*4/12</f>
        <v>0.66666666666666663</v>
      </c>
      <c r="I221" s="663"/>
      <c r="J221" s="664">
        <f>'BANCO DE DADOS'!E105</f>
        <v>21.76</v>
      </c>
      <c r="K221" s="664"/>
      <c r="L221" s="723">
        <f>ROUND(H221*J221,2)</f>
        <v>14.51</v>
      </c>
      <c r="M221" s="723"/>
      <c r="N221" s="723"/>
      <c r="O221" s="46"/>
      <c r="P221" s="46"/>
      <c r="Q221" s="46"/>
      <c r="R221" s="73"/>
      <c r="S221" s="46"/>
      <c r="T221" s="72"/>
      <c r="U221" s="72"/>
      <c r="V221" s="72"/>
      <c r="X221" s="64"/>
      <c r="Y221" s="64"/>
      <c r="AD221" s="64"/>
    </row>
    <row r="222" spans="1:30" s="51" customFormat="1" ht="13.8">
      <c r="A222" s="570" t="s">
        <v>45</v>
      </c>
      <c r="B222" s="570"/>
      <c r="C222" s="570"/>
      <c r="D222" s="570"/>
      <c r="E222" s="570"/>
      <c r="F222" s="651" t="s">
        <v>577</v>
      </c>
      <c r="G222" s="652"/>
      <c r="H222" s="662">
        <f>2*4/12</f>
        <v>0.66666666666666663</v>
      </c>
      <c r="I222" s="663"/>
      <c r="J222" s="664">
        <f>'BANCO DE DADOS'!E106</f>
        <v>25.9</v>
      </c>
      <c r="K222" s="664"/>
      <c r="L222" s="723">
        <f>ROUND(H222*J222,2)</f>
        <v>17.27</v>
      </c>
      <c r="M222" s="723"/>
      <c r="N222" s="723"/>
      <c r="O222" s="46"/>
      <c r="P222" s="46"/>
      <c r="Q222" s="46"/>
      <c r="R222" s="73"/>
      <c r="S222" s="46"/>
      <c r="T222" s="72"/>
      <c r="U222" s="72"/>
      <c r="V222" s="72"/>
      <c r="X222" s="64"/>
      <c r="Y222" s="64"/>
      <c r="AD222" s="64"/>
    </row>
    <row r="223" spans="1:30" s="51" customFormat="1" ht="18">
      <c r="A223" s="772" t="s">
        <v>613</v>
      </c>
      <c r="B223" s="772"/>
      <c r="C223" s="772"/>
      <c r="D223" s="772"/>
      <c r="E223" s="772"/>
      <c r="F223" s="772"/>
      <c r="G223" s="772"/>
      <c r="H223" s="772"/>
      <c r="I223" s="772"/>
      <c r="J223" s="772"/>
      <c r="K223" s="772"/>
      <c r="L223" s="574">
        <f>SUM(L220:N222)</f>
        <v>44.129999999999995</v>
      </c>
      <c r="M223" s="574"/>
      <c r="N223" s="574"/>
      <c r="O223" s="46"/>
      <c r="P223" s="46"/>
      <c r="Q223" s="46"/>
      <c r="R223" s="73"/>
      <c r="S223" s="46"/>
      <c r="T223" s="72"/>
      <c r="U223" s="72"/>
      <c r="V223" s="72"/>
      <c r="X223" s="64"/>
      <c r="Y223" s="64"/>
      <c r="AD223" s="64"/>
    </row>
    <row r="224" spans="1:30" ht="18.600000000000001" thickBot="1">
      <c r="A224" s="113"/>
      <c r="B224" s="113"/>
      <c r="C224" s="113"/>
      <c r="D224" s="113"/>
      <c r="E224" s="113"/>
      <c r="F224" s="113"/>
      <c r="G224" s="113"/>
      <c r="H224" s="114"/>
      <c r="I224" s="108"/>
      <c r="J224" s="108"/>
      <c r="K224" s="46"/>
      <c r="L224" s="46"/>
      <c r="M224" s="46"/>
      <c r="N224" s="46"/>
      <c r="O224" s="46"/>
      <c r="P224" s="46"/>
      <c r="Q224" s="46"/>
      <c r="R224" s="73"/>
      <c r="S224" s="46"/>
    </row>
    <row r="225" spans="1:30" s="51" customFormat="1" ht="22.5" customHeight="1">
      <c r="A225" s="604" t="s">
        <v>49</v>
      </c>
      <c r="B225" s="605"/>
      <c r="C225" s="605"/>
      <c r="D225" s="605"/>
      <c r="E225" s="605"/>
      <c r="F225" s="605"/>
      <c r="G225" s="605"/>
      <c r="H225" s="605"/>
      <c r="I225" s="605"/>
      <c r="J225" s="605"/>
      <c r="K225" s="605"/>
      <c r="L225" s="605"/>
      <c r="M225" s="605"/>
      <c r="N225" s="605"/>
      <c r="O225" s="605"/>
      <c r="P225" s="606">
        <f>O27</f>
        <v>78986.164984065195</v>
      </c>
      <c r="Q225" s="606"/>
      <c r="R225" s="606"/>
      <c r="S225" s="607"/>
      <c r="T225" s="72"/>
      <c r="U225" s="72"/>
      <c r="V225" s="72"/>
      <c r="X225" s="64"/>
      <c r="Y225" s="64"/>
      <c r="AD225" s="64"/>
    </row>
    <row r="226" spans="1:30" s="51" customFormat="1" ht="22.5" customHeight="1">
      <c r="A226" s="608" t="s">
        <v>7</v>
      </c>
      <c r="B226" s="609"/>
      <c r="C226" s="609"/>
      <c r="D226" s="609"/>
      <c r="E226" s="609"/>
      <c r="F226" s="609"/>
      <c r="G226" s="609"/>
      <c r="H226" s="609"/>
      <c r="I226" s="609"/>
      <c r="J226" s="609"/>
      <c r="K226" s="609"/>
      <c r="L226" s="609"/>
      <c r="M226" s="609"/>
      <c r="N226" s="610">
        <f>BDI!D21</f>
        <v>0.29432432362637373</v>
      </c>
      <c r="O226" s="610"/>
      <c r="P226" s="611">
        <f>P225*(1+N226)</f>
        <v>102233.71456884134</v>
      </c>
      <c r="Q226" s="611"/>
      <c r="R226" s="611"/>
      <c r="S226" s="612"/>
      <c r="T226" s="72"/>
      <c r="U226" s="72"/>
      <c r="V226" s="72"/>
      <c r="X226" s="64"/>
      <c r="Y226" s="64"/>
      <c r="AD226" s="64"/>
    </row>
    <row r="227" spans="1:30" s="51" customFormat="1" ht="22.5" customHeight="1">
      <c r="A227" s="613" t="s">
        <v>50</v>
      </c>
      <c r="B227" s="614"/>
      <c r="C227" s="614"/>
      <c r="D227" s="614"/>
      <c r="E227" s="614"/>
      <c r="F227" s="614"/>
      <c r="G227" s="614"/>
      <c r="H227" s="614"/>
      <c r="I227" s="614"/>
      <c r="J227" s="614"/>
      <c r="K227" s="614"/>
      <c r="L227" s="614"/>
      <c r="M227" s="614"/>
      <c r="N227" s="614"/>
      <c r="O227" s="615"/>
      <c r="P227" s="649">
        <f>E40</f>
        <v>200</v>
      </c>
      <c r="Q227" s="649"/>
      <c r="R227" s="649"/>
      <c r="S227" s="650"/>
      <c r="T227" s="72"/>
      <c r="U227" s="72"/>
      <c r="V227" s="72"/>
      <c r="X227" s="64"/>
      <c r="Y227" s="64"/>
      <c r="AD227" s="64"/>
    </row>
    <row r="228" spans="1:30" s="51" customFormat="1" ht="22.5" customHeight="1" thickBot="1">
      <c r="A228" s="600" t="s">
        <v>51</v>
      </c>
      <c r="B228" s="601"/>
      <c r="C228" s="601"/>
      <c r="D228" s="601"/>
      <c r="E228" s="601"/>
      <c r="F228" s="601"/>
      <c r="G228" s="601"/>
      <c r="H228" s="601"/>
      <c r="I228" s="601"/>
      <c r="J228" s="601"/>
      <c r="K228" s="601"/>
      <c r="L228" s="601"/>
      <c r="M228" s="601"/>
      <c r="N228" s="601"/>
      <c r="O228" s="601"/>
      <c r="P228" s="602">
        <f>P226/P227</f>
        <v>511.16857284420672</v>
      </c>
      <c r="Q228" s="602"/>
      <c r="R228" s="602"/>
      <c r="S228" s="603"/>
      <c r="T228" s="72"/>
      <c r="U228" s="72"/>
      <c r="V228" s="72"/>
      <c r="X228" s="64"/>
      <c r="Y228" s="64"/>
      <c r="AD228" s="64"/>
    </row>
    <row r="229" spans="1:30">
      <c r="A229" s="46"/>
      <c r="B229" s="44"/>
      <c r="C229" s="45"/>
      <c r="D229" s="46"/>
      <c r="E229" s="45"/>
      <c r="F229" s="46"/>
      <c r="G229" s="46"/>
      <c r="H229" s="46"/>
      <c r="I229" s="46"/>
      <c r="J229" s="46"/>
      <c r="K229" s="46"/>
      <c r="L229" s="46"/>
      <c r="M229" s="46"/>
      <c r="N229" s="46"/>
      <c r="O229" s="46"/>
      <c r="P229" s="46"/>
      <c r="Q229" s="46"/>
      <c r="R229" s="73"/>
      <c r="S229" s="46"/>
    </row>
  </sheetData>
  <mergeCells count="659">
    <mergeCell ref="J222:K222"/>
    <mergeCell ref="L222:N222"/>
    <mergeCell ref="A223:K223"/>
    <mergeCell ref="A225:O225"/>
    <mergeCell ref="P225:S225"/>
    <mergeCell ref="A226:M226"/>
    <mergeCell ref="N226:O226"/>
    <mergeCell ref="P226:S226"/>
    <mergeCell ref="F222:G222"/>
    <mergeCell ref="L221:N221"/>
    <mergeCell ref="A164:P164"/>
    <mergeCell ref="A166:S166"/>
    <mergeCell ref="A167:D167"/>
    <mergeCell ref="E167:F167"/>
    <mergeCell ref="H167:Q167"/>
    <mergeCell ref="A168:D168"/>
    <mergeCell ref="E168:F168"/>
    <mergeCell ref="H168:I168"/>
    <mergeCell ref="K168:M168"/>
    <mergeCell ref="N168:Q168"/>
    <mergeCell ref="K169:M169"/>
    <mergeCell ref="N169:Q169"/>
    <mergeCell ref="A170:D170"/>
    <mergeCell ref="E170:F170"/>
    <mergeCell ref="K170:M170"/>
    <mergeCell ref="N170:Q170"/>
    <mergeCell ref="H171:M171"/>
    <mergeCell ref="A109:I109"/>
    <mergeCell ref="J109:K109"/>
    <mergeCell ref="L109:M109"/>
    <mergeCell ref="N109:O109"/>
    <mergeCell ref="P109:Q109"/>
    <mergeCell ref="R109:S109"/>
    <mergeCell ref="R14:S14"/>
    <mergeCell ref="A100:I100"/>
    <mergeCell ref="J100:K100"/>
    <mergeCell ref="L100:M100"/>
    <mergeCell ref="N100:O100"/>
    <mergeCell ref="P100:Q100"/>
    <mergeCell ref="R100:S100"/>
    <mergeCell ref="A99:I99"/>
    <mergeCell ref="J99:K99"/>
    <mergeCell ref="L99:M99"/>
    <mergeCell ref="A108:I108"/>
    <mergeCell ref="J108:K108"/>
    <mergeCell ref="L108:M108"/>
    <mergeCell ref="N108:O108"/>
    <mergeCell ref="P108:Q108"/>
    <mergeCell ref="R108:S108"/>
    <mergeCell ref="A107:I107"/>
    <mergeCell ref="J107:K107"/>
    <mergeCell ref="A112:O112"/>
    <mergeCell ref="P112:Q112"/>
    <mergeCell ref="R112:S112"/>
    <mergeCell ref="G117:H117"/>
    <mergeCell ref="G118:H118"/>
    <mergeCell ref="A117:F117"/>
    <mergeCell ref="A118:F118"/>
    <mergeCell ref="A110:O110"/>
    <mergeCell ref="P110:Q110"/>
    <mergeCell ref="R110:S110"/>
    <mergeCell ref="A111:I111"/>
    <mergeCell ref="J111:K111"/>
    <mergeCell ref="L111:M111"/>
    <mergeCell ref="N111:O111"/>
    <mergeCell ref="P111:Q111"/>
    <mergeCell ref="R111:S111"/>
    <mergeCell ref="A129:F129"/>
    <mergeCell ref="A130:F130"/>
    <mergeCell ref="A131:F131"/>
    <mergeCell ref="A132:F132"/>
    <mergeCell ref="A127:F128"/>
    <mergeCell ref="A169:D169"/>
    <mergeCell ref="E169:F169"/>
    <mergeCell ref="A136:I136"/>
    <mergeCell ref="H169:I169"/>
    <mergeCell ref="F152:G152"/>
    <mergeCell ref="A141:H141"/>
    <mergeCell ref="G142:H142"/>
    <mergeCell ref="A160:H160"/>
    <mergeCell ref="I160:J160"/>
    <mergeCell ref="A157:S157"/>
    <mergeCell ref="A158:H158"/>
    <mergeCell ref="I158:J158"/>
    <mergeCell ref="K158:L158"/>
    <mergeCell ref="M158:N158"/>
    <mergeCell ref="O158:P158"/>
    <mergeCell ref="Q158:S158"/>
    <mergeCell ref="O160:P160"/>
    <mergeCell ref="A161:H161"/>
    <mergeCell ref="I161:J161"/>
    <mergeCell ref="L107:M107"/>
    <mergeCell ref="N107:O107"/>
    <mergeCell ref="P107:Q107"/>
    <mergeCell ref="R107:S107"/>
    <mergeCell ref="A106:I106"/>
    <mergeCell ref="J106:K106"/>
    <mergeCell ref="L106:M106"/>
    <mergeCell ref="N106:O106"/>
    <mergeCell ref="P106:Q106"/>
    <mergeCell ref="R106:S106"/>
    <mergeCell ref="L102:M102"/>
    <mergeCell ref="N102:O102"/>
    <mergeCell ref="P102:Q102"/>
    <mergeCell ref="R102:S102"/>
    <mergeCell ref="A105:I105"/>
    <mergeCell ref="J105:K105"/>
    <mergeCell ref="L105:M105"/>
    <mergeCell ref="N105:O105"/>
    <mergeCell ref="P105:Q105"/>
    <mergeCell ref="R105:S105"/>
    <mergeCell ref="A104:I104"/>
    <mergeCell ref="J104:K104"/>
    <mergeCell ref="L104:M104"/>
    <mergeCell ref="N104:O104"/>
    <mergeCell ref="P104:Q104"/>
    <mergeCell ref="R104:S104"/>
    <mergeCell ref="N99:O99"/>
    <mergeCell ref="P99:Q99"/>
    <mergeCell ref="R99:S99"/>
    <mergeCell ref="A133:F133"/>
    <mergeCell ref="A134:F134"/>
    <mergeCell ref="A135:F135"/>
    <mergeCell ref="G127:G128"/>
    <mergeCell ref="A120:F120"/>
    <mergeCell ref="G120:H120"/>
    <mergeCell ref="A121:F121"/>
    <mergeCell ref="G121:H121"/>
    <mergeCell ref="A122:F122"/>
    <mergeCell ref="G122:H122"/>
    <mergeCell ref="A103:I103"/>
    <mergeCell ref="J103:K103"/>
    <mergeCell ref="L103:M103"/>
    <mergeCell ref="N103:O103"/>
    <mergeCell ref="P103:Q103"/>
    <mergeCell ref="R103:S103"/>
    <mergeCell ref="A101:O101"/>
    <mergeCell ref="P101:Q101"/>
    <mergeCell ref="R101:S101"/>
    <mergeCell ref="A102:I102"/>
    <mergeCell ref="J102:K102"/>
    <mergeCell ref="R97:S97"/>
    <mergeCell ref="A98:I98"/>
    <mergeCell ref="J98:K98"/>
    <mergeCell ref="L98:M98"/>
    <mergeCell ref="N98:O98"/>
    <mergeCell ref="P98:Q98"/>
    <mergeCell ref="R98:S98"/>
    <mergeCell ref="A95:O95"/>
    <mergeCell ref="P95:Q95"/>
    <mergeCell ref="R95:S95"/>
    <mergeCell ref="B32:Q32"/>
    <mergeCell ref="R32:S32"/>
    <mergeCell ref="A97:I97"/>
    <mergeCell ref="J97:K97"/>
    <mergeCell ref="L97:M97"/>
    <mergeCell ref="N97:O97"/>
    <mergeCell ref="P97:Q97"/>
    <mergeCell ref="A93:O93"/>
    <mergeCell ref="P93:Q93"/>
    <mergeCell ref="R93:S93"/>
    <mergeCell ref="A94:I94"/>
    <mergeCell ref="J94:K94"/>
    <mergeCell ref="L94:M94"/>
    <mergeCell ref="N94:O94"/>
    <mergeCell ref="P94:Q94"/>
    <mergeCell ref="R94:S94"/>
    <mergeCell ref="A92:I92"/>
    <mergeCell ref="J92:K92"/>
    <mergeCell ref="L92:M92"/>
    <mergeCell ref="N92:O92"/>
    <mergeCell ref="P92:Q92"/>
    <mergeCell ref="R92:S92"/>
    <mergeCell ref="A91:I91"/>
    <mergeCell ref="J91:K91"/>
    <mergeCell ref="L91:M91"/>
    <mergeCell ref="N91:O91"/>
    <mergeCell ref="P91:Q91"/>
    <mergeCell ref="R91:S91"/>
    <mergeCell ref="A90:I90"/>
    <mergeCell ref="J90:K90"/>
    <mergeCell ref="L90:M90"/>
    <mergeCell ref="N90:O90"/>
    <mergeCell ref="P90:Q90"/>
    <mergeCell ref="R90:S90"/>
    <mergeCell ref="A89:I89"/>
    <mergeCell ref="J89:K89"/>
    <mergeCell ref="L89:M89"/>
    <mergeCell ref="N89:O89"/>
    <mergeCell ref="P89:Q89"/>
    <mergeCell ref="R89:S89"/>
    <mergeCell ref="A88:I88"/>
    <mergeCell ref="J88:K88"/>
    <mergeCell ref="L88:M88"/>
    <mergeCell ref="N88:O88"/>
    <mergeCell ref="P88:Q88"/>
    <mergeCell ref="R88:S88"/>
    <mergeCell ref="A87:I87"/>
    <mergeCell ref="J87:K87"/>
    <mergeCell ref="L87:M87"/>
    <mergeCell ref="N87:O87"/>
    <mergeCell ref="P87:Q87"/>
    <mergeCell ref="R87:S87"/>
    <mergeCell ref="A86:I86"/>
    <mergeCell ref="J86:K86"/>
    <mergeCell ref="L86:M86"/>
    <mergeCell ref="N86:O86"/>
    <mergeCell ref="P86:Q86"/>
    <mergeCell ref="R86:S86"/>
    <mergeCell ref="A85:I85"/>
    <mergeCell ref="J85:K85"/>
    <mergeCell ref="L85:M85"/>
    <mergeCell ref="N85:O85"/>
    <mergeCell ref="P85:Q85"/>
    <mergeCell ref="R85:S85"/>
    <mergeCell ref="A83:O83"/>
    <mergeCell ref="P83:Q83"/>
    <mergeCell ref="R83:S83"/>
    <mergeCell ref="A84:I84"/>
    <mergeCell ref="J84:K84"/>
    <mergeCell ref="L84:M84"/>
    <mergeCell ref="N84:O84"/>
    <mergeCell ref="P84:Q84"/>
    <mergeCell ref="R84:S84"/>
    <mergeCell ref="A82:I82"/>
    <mergeCell ref="J82:K82"/>
    <mergeCell ref="L82:M82"/>
    <mergeCell ref="N82:O82"/>
    <mergeCell ref="P82:Q82"/>
    <mergeCell ref="R82:S82"/>
    <mergeCell ref="A81:I81"/>
    <mergeCell ref="J81:K81"/>
    <mergeCell ref="L81:M81"/>
    <mergeCell ref="N81:O81"/>
    <mergeCell ref="P81:Q81"/>
    <mergeCell ref="R81:S81"/>
    <mergeCell ref="R78:S78"/>
    <mergeCell ref="A79:I79"/>
    <mergeCell ref="J79:K79"/>
    <mergeCell ref="L79:M79"/>
    <mergeCell ref="N79:O79"/>
    <mergeCell ref="P79:Q79"/>
    <mergeCell ref="R79:S79"/>
    <mergeCell ref="J78:K78"/>
    <mergeCell ref="L78:M78"/>
    <mergeCell ref="A76:O76"/>
    <mergeCell ref="P76:Q76"/>
    <mergeCell ref="R76:S76"/>
    <mergeCell ref="A114:I114"/>
    <mergeCell ref="A115:F115"/>
    <mergeCell ref="G115:H115"/>
    <mergeCell ref="A78:I78"/>
    <mergeCell ref="N78:O78"/>
    <mergeCell ref="A74:O74"/>
    <mergeCell ref="P74:Q74"/>
    <mergeCell ref="R74:S74"/>
    <mergeCell ref="A75:I75"/>
    <mergeCell ref="J75:K75"/>
    <mergeCell ref="L75:M75"/>
    <mergeCell ref="N75:O75"/>
    <mergeCell ref="P75:Q75"/>
    <mergeCell ref="R75:S75"/>
    <mergeCell ref="A80:I80"/>
    <mergeCell ref="J80:K80"/>
    <mergeCell ref="L80:M80"/>
    <mergeCell ref="N80:O80"/>
    <mergeCell ref="P80:Q80"/>
    <mergeCell ref="R80:S80"/>
    <mergeCell ref="P78:Q78"/>
    <mergeCell ref="A73:I73"/>
    <mergeCell ref="J73:K73"/>
    <mergeCell ref="L73:M73"/>
    <mergeCell ref="N73:O73"/>
    <mergeCell ref="P73:Q73"/>
    <mergeCell ref="R73:S73"/>
    <mergeCell ref="A72:I72"/>
    <mergeCell ref="J72:K72"/>
    <mergeCell ref="L72:M72"/>
    <mergeCell ref="N72:O72"/>
    <mergeCell ref="P72:Q72"/>
    <mergeCell ref="R72:S72"/>
    <mergeCell ref="A71:I71"/>
    <mergeCell ref="J71:K71"/>
    <mergeCell ref="L71:M71"/>
    <mergeCell ref="N71:O71"/>
    <mergeCell ref="P71:Q71"/>
    <mergeCell ref="R71:S71"/>
    <mergeCell ref="A70:I70"/>
    <mergeCell ref="J70:K70"/>
    <mergeCell ref="L70:M70"/>
    <mergeCell ref="N70:O70"/>
    <mergeCell ref="P70:Q70"/>
    <mergeCell ref="R70:S70"/>
    <mergeCell ref="A69:I69"/>
    <mergeCell ref="J69:K69"/>
    <mergeCell ref="L69:M69"/>
    <mergeCell ref="N69:O69"/>
    <mergeCell ref="P69:Q69"/>
    <mergeCell ref="R69:S69"/>
    <mergeCell ref="A68:I68"/>
    <mergeCell ref="J68:K68"/>
    <mergeCell ref="L68:M68"/>
    <mergeCell ref="N68:O68"/>
    <mergeCell ref="P68:Q68"/>
    <mergeCell ref="R68:S68"/>
    <mergeCell ref="A67:I67"/>
    <mergeCell ref="J67:K67"/>
    <mergeCell ref="L67:M67"/>
    <mergeCell ref="N67:O67"/>
    <mergeCell ref="P67:Q67"/>
    <mergeCell ref="R67:S67"/>
    <mergeCell ref="A66:I66"/>
    <mergeCell ref="J66:K66"/>
    <mergeCell ref="L66:M66"/>
    <mergeCell ref="N66:O66"/>
    <mergeCell ref="P66:Q66"/>
    <mergeCell ref="R66:S66"/>
    <mergeCell ref="A64:O64"/>
    <mergeCell ref="P64:Q64"/>
    <mergeCell ref="R64:S64"/>
    <mergeCell ref="A65:I65"/>
    <mergeCell ref="J65:K65"/>
    <mergeCell ref="L65:M65"/>
    <mergeCell ref="N65:O65"/>
    <mergeCell ref="P65:Q65"/>
    <mergeCell ref="R65:S65"/>
    <mergeCell ref="A63:I63"/>
    <mergeCell ref="J63:K63"/>
    <mergeCell ref="L63:M63"/>
    <mergeCell ref="N63:O63"/>
    <mergeCell ref="P63:Q63"/>
    <mergeCell ref="R63:S63"/>
    <mergeCell ref="A62:I62"/>
    <mergeCell ref="J62:K62"/>
    <mergeCell ref="L62:M62"/>
    <mergeCell ref="N62:O62"/>
    <mergeCell ref="P62:Q62"/>
    <mergeCell ref="R62:S62"/>
    <mergeCell ref="A56:S56"/>
    <mergeCell ref="A59:I59"/>
    <mergeCell ref="J59:K59"/>
    <mergeCell ref="L59:M59"/>
    <mergeCell ref="N59:O59"/>
    <mergeCell ref="P59:Q59"/>
    <mergeCell ref="A61:I61"/>
    <mergeCell ref="J61:K61"/>
    <mergeCell ref="L61:M61"/>
    <mergeCell ref="N61:O61"/>
    <mergeCell ref="P61:Q61"/>
    <mergeCell ref="R61:S61"/>
    <mergeCell ref="R59:S59"/>
    <mergeCell ref="A60:I60"/>
    <mergeCell ref="J60:K60"/>
    <mergeCell ref="L60:M60"/>
    <mergeCell ref="N60:O60"/>
    <mergeCell ref="P60:Q60"/>
    <mergeCell ref="R60:S60"/>
    <mergeCell ref="A34:Q34"/>
    <mergeCell ref="R34:S34"/>
    <mergeCell ref="A36:Q36"/>
    <mergeCell ref="R36:S36"/>
    <mergeCell ref="B37:Q37"/>
    <mergeCell ref="R37:S37"/>
    <mergeCell ref="A126:O126"/>
    <mergeCell ref="A138:S138"/>
    <mergeCell ref="A140:Q140"/>
    <mergeCell ref="H134:I134"/>
    <mergeCell ref="J134:K134"/>
    <mergeCell ref="H135:I135"/>
    <mergeCell ref="A46:D46"/>
    <mergeCell ref="E46:I46"/>
    <mergeCell ref="E40:I40"/>
    <mergeCell ref="E41:I41"/>
    <mergeCell ref="E42:I42"/>
    <mergeCell ref="E43:I43"/>
    <mergeCell ref="E44:I44"/>
    <mergeCell ref="E45:I45"/>
    <mergeCell ref="B38:Q38"/>
    <mergeCell ref="R38:S38"/>
    <mergeCell ref="A39:Q39"/>
    <mergeCell ref="R39:S39"/>
    <mergeCell ref="B31:Q31"/>
    <mergeCell ref="R31:S31"/>
    <mergeCell ref="B33:Q33"/>
    <mergeCell ref="R33:S33"/>
    <mergeCell ref="A143:F143"/>
    <mergeCell ref="G143:H143"/>
    <mergeCell ref="L54:M54"/>
    <mergeCell ref="L53:M53"/>
    <mergeCell ref="F53:J53"/>
    <mergeCell ref="F54:J54"/>
    <mergeCell ref="A48:M48"/>
    <mergeCell ref="L49:M49"/>
    <mergeCell ref="L50:M50"/>
    <mergeCell ref="L51:M51"/>
    <mergeCell ref="L52:M52"/>
    <mergeCell ref="A40:D40"/>
    <mergeCell ref="A41:D41"/>
    <mergeCell ref="A42:D43"/>
    <mergeCell ref="A44:D45"/>
    <mergeCell ref="A49:E54"/>
    <mergeCell ref="F49:J49"/>
    <mergeCell ref="F50:J50"/>
    <mergeCell ref="F51:J51"/>
    <mergeCell ref="F52:J52"/>
    <mergeCell ref="A27:N27"/>
    <mergeCell ref="O27:Q27"/>
    <mergeCell ref="R27:S27"/>
    <mergeCell ref="A29:S29"/>
    <mergeCell ref="A30:Q30"/>
    <mergeCell ref="R30:S30"/>
    <mergeCell ref="B25:N25"/>
    <mergeCell ref="O25:Q25"/>
    <mergeCell ref="R25:S25"/>
    <mergeCell ref="B26:N26"/>
    <mergeCell ref="O26:Q26"/>
    <mergeCell ref="R26:S26"/>
    <mergeCell ref="B23:N23"/>
    <mergeCell ref="O23:Q23"/>
    <mergeCell ref="R23:S23"/>
    <mergeCell ref="B24:N24"/>
    <mergeCell ref="O24:Q24"/>
    <mergeCell ref="R24:S24"/>
    <mergeCell ref="B21:N21"/>
    <mergeCell ref="O21:Q21"/>
    <mergeCell ref="R21:S21"/>
    <mergeCell ref="B22:N22"/>
    <mergeCell ref="O22:Q22"/>
    <mergeCell ref="R22:S22"/>
    <mergeCell ref="B19:N19"/>
    <mergeCell ref="O19:Q19"/>
    <mergeCell ref="R19:S19"/>
    <mergeCell ref="B20:N20"/>
    <mergeCell ref="O20:Q20"/>
    <mergeCell ref="R20:S20"/>
    <mergeCell ref="B17:N17"/>
    <mergeCell ref="O17:Q17"/>
    <mergeCell ref="R17:S17"/>
    <mergeCell ref="B18:N18"/>
    <mergeCell ref="O18:Q18"/>
    <mergeCell ref="R18:S18"/>
    <mergeCell ref="B11:N11"/>
    <mergeCell ref="O11:Q11"/>
    <mergeCell ref="R11:S11"/>
    <mergeCell ref="B12:N12"/>
    <mergeCell ref="O12:Q12"/>
    <mergeCell ref="B13:N13"/>
    <mergeCell ref="O13:Q13"/>
    <mergeCell ref="B14:N14"/>
    <mergeCell ref="O14:Q14"/>
    <mergeCell ref="B7:S7"/>
    <mergeCell ref="R12:S12"/>
    <mergeCell ref="R13:S13"/>
    <mergeCell ref="A144:F144"/>
    <mergeCell ref="G144:H144"/>
    <mergeCell ref="A145:F145"/>
    <mergeCell ref="G145:H145"/>
    <mergeCell ref="J128:K128"/>
    <mergeCell ref="H129:I129"/>
    <mergeCell ref="J129:K129"/>
    <mergeCell ref="H133:I133"/>
    <mergeCell ref="J133:K133"/>
    <mergeCell ref="J135:K135"/>
    <mergeCell ref="J136:K136"/>
    <mergeCell ref="B15:N15"/>
    <mergeCell ref="O15:Q15"/>
    <mergeCell ref="R15:S15"/>
    <mergeCell ref="B16:N16"/>
    <mergeCell ref="O16:Q16"/>
    <mergeCell ref="R16:S16"/>
    <mergeCell ref="A9:S9"/>
    <mergeCell ref="B10:N10"/>
    <mergeCell ref="O10:Q10"/>
    <mergeCell ref="R10:S10"/>
    <mergeCell ref="A3:S3"/>
    <mergeCell ref="A4:S4"/>
    <mergeCell ref="A148:G148"/>
    <mergeCell ref="A149:G149"/>
    <mergeCell ref="A150:E150"/>
    <mergeCell ref="F150:G150"/>
    <mergeCell ref="A116:F116"/>
    <mergeCell ref="G116:H116"/>
    <mergeCell ref="A119:F119"/>
    <mergeCell ref="G119:H119"/>
    <mergeCell ref="H127:K127"/>
    <mergeCell ref="L127:M127"/>
    <mergeCell ref="N127:O127"/>
    <mergeCell ref="A123:F123"/>
    <mergeCell ref="G123:H123"/>
    <mergeCell ref="A124:F124"/>
    <mergeCell ref="G124:H124"/>
    <mergeCell ref="H128:I128"/>
    <mergeCell ref="H130:I130"/>
    <mergeCell ref="J130:K130"/>
    <mergeCell ref="H131:I131"/>
    <mergeCell ref="J131:K131"/>
    <mergeCell ref="H132:I132"/>
    <mergeCell ref="J132:K132"/>
    <mergeCell ref="J141:Q141"/>
    <mergeCell ref="A142:F142"/>
    <mergeCell ref="J142:Q142"/>
    <mergeCell ref="N143:Q143"/>
    <mergeCell ref="A177:G177"/>
    <mergeCell ref="H177:I177"/>
    <mergeCell ref="A178:G178"/>
    <mergeCell ref="H178:I178"/>
    <mergeCell ref="A180:Q180"/>
    <mergeCell ref="N171:Q171"/>
    <mergeCell ref="A173:I173"/>
    <mergeCell ref="A174:G174"/>
    <mergeCell ref="H174:I174"/>
    <mergeCell ref="A151:E151"/>
    <mergeCell ref="F151:G151"/>
    <mergeCell ref="A152:E152"/>
    <mergeCell ref="A175:G175"/>
    <mergeCell ref="A176:G176"/>
    <mergeCell ref="H176:I176"/>
    <mergeCell ref="Q159:S163"/>
    <mergeCell ref="K160:L160"/>
    <mergeCell ref="M160:N160"/>
    <mergeCell ref="K161:L161"/>
    <mergeCell ref="M161:N161"/>
    <mergeCell ref="N144:Q144"/>
    <mergeCell ref="A182:H182"/>
    <mergeCell ref="I182:J182"/>
    <mergeCell ref="N145:Q145"/>
    <mergeCell ref="A185:H185"/>
    <mergeCell ref="I185:J185"/>
    <mergeCell ref="K185:L185"/>
    <mergeCell ref="M185:N185"/>
    <mergeCell ref="O185:Q185"/>
    <mergeCell ref="N146:Q146"/>
    <mergeCell ref="J149:K149"/>
    <mergeCell ref="N149:Q149"/>
    <mergeCell ref="A184:H184"/>
    <mergeCell ref="O182:Q182"/>
    <mergeCell ref="A183:H183"/>
    <mergeCell ref="I183:J183"/>
    <mergeCell ref="K183:L183"/>
    <mergeCell ref="M183:N183"/>
    <mergeCell ref="O183:Q183"/>
    <mergeCell ref="A181:H181"/>
    <mergeCell ref="I181:J181"/>
    <mergeCell ref="K181:L181"/>
    <mergeCell ref="M181:N181"/>
    <mergeCell ref="O181:Q181"/>
    <mergeCell ref="A153:E153"/>
    <mergeCell ref="F153:G153"/>
    <mergeCell ref="A154:E154"/>
    <mergeCell ref="F154:G154"/>
    <mergeCell ref="I184:J184"/>
    <mergeCell ref="K182:L182"/>
    <mergeCell ref="M182:N182"/>
    <mergeCell ref="K184:L184"/>
    <mergeCell ref="M184:N184"/>
    <mergeCell ref="A159:H159"/>
    <mergeCell ref="I159:J159"/>
    <mergeCell ref="K159:L159"/>
    <mergeCell ref="M159:N159"/>
    <mergeCell ref="A162:H162"/>
    <mergeCell ref="I162:J162"/>
    <mergeCell ref="K162:L162"/>
    <mergeCell ref="M162:N162"/>
    <mergeCell ref="A163:H163"/>
    <mergeCell ref="I163:J163"/>
    <mergeCell ref="K163:L163"/>
    <mergeCell ref="M163:N163"/>
    <mergeCell ref="A187:H187"/>
    <mergeCell ref="I187:J187"/>
    <mergeCell ref="E155:G155"/>
    <mergeCell ref="K187:L187"/>
    <mergeCell ref="M187:N187"/>
    <mergeCell ref="O187:Q187"/>
    <mergeCell ref="B165:C165"/>
    <mergeCell ref="H175:I175"/>
    <mergeCell ref="A186:H186"/>
    <mergeCell ref="I186:J186"/>
    <mergeCell ref="K186:L186"/>
    <mergeCell ref="M186:N186"/>
    <mergeCell ref="O186:Q186"/>
    <mergeCell ref="O184:Q184"/>
    <mergeCell ref="O161:P161"/>
    <mergeCell ref="O159:P159"/>
    <mergeCell ref="O162:P162"/>
    <mergeCell ref="O163:P163"/>
    <mergeCell ref="K188:L188"/>
    <mergeCell ref="M188:N188"/>
    <mergeCell ref="O188:Q188"/>
    <mergeCell ref="A189:N189"/>
    <mergeCell ref="A191:C196"/>
    <mergeCell ref="D191:H191"/>
    <mergeCell ref="I191:K191"/>
    <mergeCell ref="D192:H192"/>
    <mergeCell ref="I192:K192"/>
    <mergeCell ref="D193:H193"/>
    <mergeCell ref="I193:K193"/>
    <mergeCell ref="D194:H194"/>
    <mergeCell ref="I194:K194"/>
    <mergeCell ref="D195:H195"/>
    <mergeCell ref="I195:K195"/>
    <mergeCell ref="D196:H196"/>
    <mergeCell ref="A206:F206"/>
    <mergeCell ref="A208:H208"/>
    <mergeCell ref="A209:F209"/>
    <mergeCell ref="G209:H209"/>
    <mergeCell ref="G210:H210"/>
    <mergeCell ref="A211:F211"/>
    <mergeCell ref="G211:H211"/>
    <mergeCell ref="A213:J213"/>
    <mergeCell ref="A188:H188"/>
    <mergeCell ref="I188:J188"/>
    <mergeCell ref="A2:S2"/>
    <mergeCell ref="O189:Q189"/>
    <mergeCell ref="I196:K196"/>
    <mergeCell ref="G206:I206"/>
    <mergeCell ref="A214:H214"/>
    <mergeCell ref="I214:J214"/>
    <mergeCell ref="A215:H215"/>
    <mergeCell ref="I215:J215"/>
    <mergeCell ref="A210:F210"/>
    <mergeCell ref="Q164:S164"/>
    <mergeCell ref="A198:I198"/>
    <mergeCell ref="A199:F199"/>
    <mergeCell ref="A200:F200"/>
    <mergeCell ref="G200:I200"/>
    <mergeCell ref="A201:F201"/>
    <mergeCell ref="G201:I201"/>
    <mergeCell ref="A202:F202"/>
    <mergeCell ref="G202:I202"/>
    <mergeCell ref="A203:F203"/>
    <mergeCell ref="G203:I203"/>
    <mergeCell ref="A204:F204"/>
    <mergeCell ref="G204:I204"/>
    <mergeCell ref="A205:F205"/>
    <mergeCell ref="G205:I205"/>
    <mergeCell ref="H219:I219"/>
    <mergeCell ref="J219:K219"/>
    <mergeCell ref="P227:S227"/>
    <mergeCell ref="A216:G216"/>
    <mergeCell ref="A220:E220"/>
    <mergeCell ref="F220:G220"/>
    <mergeCell ref="A222:E222"/>
    <mergeCell ref="A218:N218"/>
    <mergeCell ref="P228:S228"/>
    <mergeCell ref="H216:J216"/>
    <mergeCell ref="H220:I220"/>
    <mergeCell ref="J220:K220"/>
    <mergeCell ref="H222:I222"/>
    <mergeCell ref="L223:N223"/>
    <mergeCell ref="A228:O228"/>
    <mergeCell ref="A219:E219"/>
    <mergeCell ref="F219:G219"/>
    <mergeCell ref="A227:O227"/>
    <mergeCell ref="L219:N219"/>
    <mergeCell ref="L220:N220"/>
    <mergeCell ref="A221:E221"/>
    <mergeCell ref="F221:G221"/>
    <mergeCell ref="H221:I221"/>
    <mergeCell ref="J221:K221"/>
  </mergeCells>
  <pageMargins left="0.51181102362204722" right="0.51181102362204722" top="0.78740157480314965" bottom="0.78740157480314965" header="0.31496062992125984" footer="0.31496062992125984"/>
  <pageSetup paperSize="9" scale="54" fitToHeight="0" orientation="portrait" horizontalDpi="4294967293" verticalDpi="4294967293" r:id="rId1"/>
  <rowBreaks count="2" manualBreakCount="2">
    <brk id="76" max="18" man="1"/>
    <brk id="137" max="1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sheetPr>
  <dimension ref="A1:AD289"/>
  <sheetViews>
    <sheetView topLeftCell="A280" zoomScaleSheetLayoutView="100" workbookViewId="0">
      <selection activeCell="A257" sqref="A257:I257"/>
    </sheetView>
  </sheetViews>
  <sheetFormatPr defaultColWidth="9.109375" defaultRowHeight="13.2"/>
  <cols>
    <col min="1" max="1" width="6.44140625" style="16" customWidth="1"/>
    <col min="2" max="2" width="12.33203125" style="21" customWidth="1"/>
    <col min="3" max="3" width="3.77734375" style="17" customWidth="1"/>
    <col min="4" max="4" width="7.44140625" style="16" customWidth="1"/>
    <col min="5" max="5" width="10" style="17" customWidth="1"/>
    <col min="6" max="6" width="8.21875" style="16" customWidth="1"/>
    <col min="7" max="7" width="9.109375" style="16" customWidth="1"/>
    <col min="8" max="8" width="9.5546875" style="16" customWidth="1"/>
    <col min="9" max="9" width="8.88671875" style="16" customWidth="1"/>
    <col min="10" max="10" width="8.33203125" style="16" customWidth="1"/>
    <col min="11" max="11" width="7.5546875" style="16" customWidth="1"/>
    <col min="12" max="12" width="8.88671875" style="16" customWidth="1"/>
    <col min="13" max="13" width="7.44140625" style="16" customWidth="1"/>
    <col min="14" max="14" width="10" style="16" customWidth="1"/>
    <col min="15" max="15" width="7" style="16" customWidth="1"/>
    <col min="16" max="16" width="6.44140625" style="16" customWidth="1"/>
    <col min="17" max="17" width="7.109375" style="16" customWidth="1"/>
    <col min="18" max="18" width="6.88671875" style="22" customWidth="1"/>
    <col min="19" max="19" width="8.44140625" style="16" customWidth="1"/>
    <col min="20" max="20" width="9" style="15" customWidth="1"/>
    <col min="21" max="21" width="7.5546875" style="15" customWidth="1"/>
    <col min="22" max="22" width="10.21875" style="15" customWidth="1"/>
    <col min="23" max="23" width="16" style="16" customWidth="1"/>
    <col min="24" max="24" width="5.109375" style="17" customWidth="1"/>
    <col min="25" max="25" width="13.5546875" style="17" customWidth="1"/>
    <col min="26" max="26" width="3.6640625" style="16" customWidth="1"/>
    <col min="27" max="27" width="13.5546875" style="16" customWidth="1"/>
    <col min="28" max="28" width="4.21875" style="16" customWidth="1"/>
    <col min="29" max="29" width="18.33203125" style="16" customWidth="1"/>
    <col min="30" max="30" width="4.6640625" style="17" customWidth="1"/>
    <col min="31" max="31" width="16.21875" style="16" customWidth="1"/>
    <col min="32" max="16384" width="9.109375" style="16"/>
  </cols>
  <sheetData>
    <row r="1" spans="1:30">
      <c r="A1" s="24"/>
      <c r="B1" s="25"/>
      <c r="C1" s="26"/>
      <c r="D1" s="24"/>
      <c r="E1" s="26"/>
      <c r="F1" s="24"/>
      <c r="G1" s="24"/>
      <c r="H1" s="24"/>
      <c r="I1" s="24"/>
      <c r="J1" s="24"/>
      <c r="K1" s="24"/>
      <c r="L1" s="24"/>
      <c r="M1" s="24"/>
      <c r="N1" s="24"/>
      <c r="O1" s="24"/>
      <c r="P1" s="24"/>
      <c r="Q1" s="24"/>
      <c r="R1" s="27"/>
      <c r="S1" s="24"/>
    </row>
    <row r="2" spans="1:30" ht="38.25" customHeight="1">
      <c r="A2" s="654" t="s">
        <v>134</v>
      </c>
      <c r="B2" s="655"/>
      <c r="C2" s="655"/>
      <c r="D2" s="655"/>
      <c r="E2" s="655"/>
      <c r="F2" s="655"/>
      <c r="G2" s="655"/>
      <c r="H2" s="655"/>
      <c r="I2" s="655"/>
      <c r="J2" s="655"/>
      <c r="K2" s="655"/>
      <c r="L2" s="655"/>
      <c r="M2" s="655"/>
      <c r="N2" s="655"/>
      <c r="O2" s="655"/>
      <c r="P2" s="655"/>
      <c r="Q2" s="655"/>
      <c r="R2" s="655"/>
      <c r="S2" s="656"/>
      <c r="T2" s="18"/>
      <c r="U2" s="18"/>
      <c r="V2" s="18"/>
    </row>
    <row r="3" spans="1:30" ht="23.25" customHeight="1">
      <c r="A3" s="523" t="s">
        <v>135</v>
      </c>
      <c r="B3" s="523"/>
      <c r="C3" s="523"/>
      <c r="D3" s="523"/>
      <c r="E3" s="523"/>
      <c r="F3" s="523"/>
      <c r="G3" s="523"/>
      <c r="H3" s="523"/>
      <c r="I3" s="523"/>
      <c r="J3" s="523"/>
      <c r="K3" s="523"/>
      <c r="L3" s="523"/>
      <c r="M3" s="523"/>
      <c r="N3" s="523"/>
      <c r="O3" s="523"/>
      <c r="P3" s="523"/>
      <c r="Q3" s="523"/>
      <c r="R3" s="523"/>
      <c r="S3" s="523"/>
      <c r="T3" s="18"/>
      <c r="U3" s="18"/>
      <c r="V3" s="18"/>
    </row>
    <row r="4" spans="1:30" ht="23.25" customHeight="1">
      <c r="A4" s="523" t="s">
        <v>136</v>
      </c>
      <c r="B4" s="523"/>
      <c r="C4" s="523"/>
      <c r="D4" s="523"/>
      <c r="E4" s="523"/>
      <c r="F4" s="523"/>
      <c r="G4" s="523"/>
      <c r="H4" s="523"/>
      <c r="I4" s="523"/>
      <c r="J4" s="523"/>
      <c r="K4" s="523"/>
      <c r="L4" s="523"/>
      <c r="M4" s="523"/>
      <c r="N4" s="523"/>
      <c r="O4" s="523"/>
      <c r="P4" s="523"/>
      <c r="Q4" s="523"/>
      <c r="R4" s="523"/>
      <c r="S4" s="523"/>
      <c r="T4" s="18"/>
      <c r="U4" s="18"/>
      <c r="V4" s="18"/>
    </row>
    <row r="5" spans="1:30" ht="23.25" customHeight="1">
      <c r="A5" s="28" t="s">
        <v>137</v>
      </c>
      <c r="B5" s="29"/>
      <c r="C5" s="29"/>
      <c r="D5" s="29"/>
      <c r="E5" s="29"/>
      <c r="F5" s="29"/>
      <c r="G5" s="29"/>
      <c r="H5" s="29"/>
      <c r="I5" s="29"/>
      <c r="J5" s="29"/>
      <c r="K5" s="29"/>
      <c r="L5" s="29"/>
      <c r="M5" s="29"/>
      <c r="N5" s="29"/>
      <c r="O5" s="29"/>
      <c r="P5" s="29"/>
      <c r="Q5" s="29"/>
      <c r="R5" s="29"/>
      <c r="S5" s="29"/>
      <c r="T5" s="18"/>
      <c r="U5" s="18"/>
      <c r="V5" s="18"/>
    </row>
    <row r="6" spans="1:30" ht="16.5" customHeight="1">
      <c r="A6" s="28"/>
      <c r="B6" s="29"/>
      <c r="C6" s="29"/>
      <c r="D6" s="29"/>
      <c r="E6" s="29"/>
      <c r="F6" s="29"/>
      <c r="G6" s="29"/>
      <c r="H6" s="29"/>
      <c r="I6" s="29"/>
      <c r="J6" s="29"/>
      <c r="K6" s="29"/>
      <c r="L6" s="29"/>
      <c r="M6" s="29"/>
      <c r="N6" s="29"/>
      <c r="O6" s="29"/>
      <c r="P6" s="29"/>
      <c r="Q6" s="29"/>
      <c r="R6" s="29"/>
      <c r="S6" s="29"/>
      <c r="T6" s="18"/>
      <c r="U6" s="18"/>
      <c r="V6" s="18"/>
    </row>
    <row r="7" spans="1:30" ht="51.75" customHeight="1">
      <c r="A7" s="415" t="s">
        <v>546</v>
      </c>
      <c r="B7" s="804" t="s">
        <v>627</v>
      </c>
      <c r="C7" s="804"/>
      <c r="D7" s="804"/>
      <c r="E7" s="804"/>
      <c r="F7" s="804"/>
      <c r="G7" s="804"/>
      <c r="H7" s="804"/>
      <c r="I7" s="804"/>
      <c r="J7" s="804"/>
      <c r="K7" s="804"/>
      <c r="L7" s="804"/>
      <c r="M7" s="804"/>
      <c r="N7" s="804"/>
      <c r="O7" s="804"/>
      <c r="P7" s="804"/>
      <c r="Q7" s="804"/>
      <c r="R7" s="804"/>
      <c r="S7" s="804"/>
      <c r="T7" s="18"/>
      <c r="U7" s="18"/>
      <c r="V7" s="18"/>
    </row>
    <row r="8" spans="1:30" ht="9" customHeight="1">
      <c r="A8" s="794"/>
      <c r="B8" s="794"/>
      <c r="C8" s="794"/>
      <c r="D8" s="794"/>
      <c r="E8" s="794"/>
      <c r="F8" s="794"/>
      <c r="G8" s="794"/>
      <c r="H8" s="794"/>
      <c r="I8" s="794"/>
      <c r="J8" s="794"/>
      <c r="K8" s="794"/>
      <c r="L8" s="794"/>
      <c r="M8" s="794"/>
      <c r="N8" s="794"/>
      <c r="O8" s="794"/>
      <c r="P8" s="794"/>
      <c r="Q8" s="794"/>
      <c r="R8" s="794"/>
      <c r="S8" s="794"/>
      <c r="T8" s="18"/>
      <c r="U8" s="18"/>
      <c r="V8" s="18"/>
    </row>
    <row r="9" spans="1:30" ht="16.5" customHeight="1">
      <c r="A9" s="525" t="s">
        <v>541</v>
      </c>
      <c r="B9" s="525"/>
      <c r="C9" s="525"/>
      <c r="D9" s="525"/>
      <c r="E9" s="525"/>
      <c r="F9" s="525"/>
      <c r="G9" s="525"/>
      <c r="H9" s="525"/>
      <c r="I9" s="525"/>
      <c r="J9" s="525"/>
      <c r="K9" s="525"/>
      <c r="L9" s="525"/>
      <c r="M9" s="525"/>
      <c r="N9" s="525"/>
      <c r="O9" s="525"/>
      <c r="P9" s="525"/>
      <c r="Q9" s="525"/>
      <c r="R9" s="525"/>
      <c r="S9" s="525"/>
      <c r="T9" s="18"/>
      <c r="U9" s="18"/>
      <c r="V9" s="18"/>
    </row>
    <row r="10" spans="1:30" ht="16.5" customHeight="1">
      <c r="A10" s="376" t="s">
        <v>545</v>
      </c>
      <c r="B10" s="526" t="s">
        <v>544</v>
      </c>
      <c r="C10" s="527"/>
      <c r="D10" s="527"/>
      <c r="E10" s="527"/>
      <c r="F10" s="527"/>
      <c r="G10" s="527"/>
      <c r="H10" s="527"/>
      <c r="I10" s="527"/>
      <c r="J10" s="527"/>
      <c r="K10" s="527"/>
      <c r="L10" s="527"/>
      <c r="M10" s="527"/>
      <c r="N10" s="528"/>
      <c r="O10" s="529" t="s">
        <v>543</v>
      </c>
      <c r="P10" s="530"/>
      <c r="Q10" s="531"/>
      <c r="R10" s="532" t="s">
        <v>542</v>
      </c>
      <c r="S10" s="532"/>
      <c r="T10" s="18"/>
      <c r="U10" s="18"/>
      <c r="V10" s="18"/>
      <c r="X10" s="16"/>
      <c r="Y10" s="16"/>
      <c r="AD10" s="16"/>
    </row>
    <row r="11" spans="1:30" ht="13.8">
      <c r="A11" s="378" t="s">
        <v>546</v>
      </c>
      <c r="B11" s="509" t="s">
        <v>547</v>
      </c>
      <c r="C11" s="510"/>
      <c r="D11" s="510"/>
      <c r="E11" s="510"/>
      <c r="F11" s="510"/>
      <c r="G11" s="510"/>
      <c r="H11" s="510"/>
      <c r="I11" s="510"/>
      <c r="J11" s="510"/>
      <c r="K11" s="510"/>
      <c r="L11" s="510"/>
      <c r="M11" s="510"/>
      <c r="N11" s="511"/>
      <c r="O11" s="512">
        <f>SUM(O12:Q17)</f>
        <v>120635.60247591522</v>
      </c>
      <c r="P11" s="513"/>
      <c r="Q11" s="514"/>
      <c r="R11" s="515">
        <f>O11/$O$30</f>
        <v>0.4776767259978339</v>
      </c>
      <c r="S11" s="515"/>
      <c r="T11" s="18"/>
      <c r="U11" s="18"/>
      <c r="V11" s="18"/>
      <c r="X11" s="16"/>
      <c r="Y11" s="16"/>
      <c r="AD11" s="16"/>
    </row>
    <row r="12" spans="1:30" ht="16.5" customHeight="1">
      <c r="A12" s="377" t="s">
        <v>548</v>
      </c>
      <c r="B12" s="516" t="str">
        <f>'MÃO DE OBRA'!B4</f>
        <v>Coletor diurno (inclusive reserva)</v>
      </c>
      <c r="C12" s="517"/>
      <c r="D12" s="517"/>
      <c r="E12" s="517"/>
      <c r="F12" s="517"/>
      <c r="G12" s="517"/>
      <c r="H12" s="517"/>
      <c r="I12" s="517"/>
      <c r="J12" s="517"/>
      <c r="K12" s="517"/>
      <c r="L12" s="517"/>
      <c r="M12" s="517"/>
      <c r="N12" s="518"/>
      <c r="O12" s="519">
        <f>R67</f>
        <v>66101.173834464003</v>
      </c>
      <c r="P12" s="520"/>
      <c r="Q12" s="521"/>
      <c r="R12" s="522"/>
      <c r="S12" s="522"/>
      <c r="T12" s="18"/>
      <c r="U12" s="18"/>
      <c r="V12" s="18"/>
      <c r="X12" s="16"/>
      <c r="Y12" s="16"/>
      <c r="AD12" s="16"/>
    </row>
    <row r="13" spans="1:30" ht="16.5" customHeight="1">
      <c r="A13" s="377" t="s">
        <v>549</v>
      </c>
      <c r="B13" s="516" t="str">
        <f>'MÃO DE OBRA'!B5</f>
        <v>Coletor noturno</v>
      </c>
      <c r="C13" s="517"/>
      <c r="D13" s="517"/>
      <c r="E13" s="517"/>
      <c r="F13" s="517"/>
      <c r="G13" s="517"/>
      <c r="H13" s="517"/>
      <c r="I13" s="517"/>
      <c r="J13" s="517"/>
      <c r="K13" s="517"/>
      <c r="L13" s="517"/>
      <c r="M13" s="517"/>
      <c r="N13" s="518"/>
      <c r="O13" s="519">
        <f>R87</f>
        <v>14617.540458441599</v>
      </c>
      <c r="P13" s="520"/>
      <c r="Q13" s="521"/>
      <c r="R13" s="522"/>
      <c r="S13" s="522"/>
      <c r="T13" s="18"/>
      <c r="U13" s="18"/>
      <c r="V13" s="18"/>
      <c r="X13" s="16"/>
      <c r="Y13" s="16"/>
      <c r="AD13" s="16"/>
    </row>
    <row r="14" spans="1:30" ht="16.5" customHeight="1">
      <c r="A14" s="377" t="s">
        <v>550</v>
      </c>
      <c r="B14" s="516" t="str">
        <f>'MÃO DE OBRA'!B6</f>
        <v>Motorista diurno (inclusive reserva)</v>
      </c>
      <c r="C14" s="517"/>
      <c r="D14" s="517"/>
      <c r="E14" s="517"/>
      <c r="F14" s="517"/>
      <c r="G14" s="517"/>
      <c r="H14" s="517"/>
      <c r="I14" s="517"/>
      <c r="J14" s="517"/>
      <c r="K14" s="517"/>
      <c r="L14" s="517"/>
      <c r="M14" s="517"/>
      <c r="N14" s="518"/>
      <c r="O14" s="519">
        <f>R106</f>
        <v>26136.008607557342</v>
      </c>
      <c r="P14" s="520"/>
      <c r="Q14" s="521"/>
      <c r="R14" s="522"/>
      <c r="S14" s="522"/>
      <c r="T14" s="18"/>
      <c r="U14" s="18"/>
      <c r="V14" s="18"/>
      <c r="X14" s="16"/>
      <c r="Y14" s="16"/>
      <c r="AD14" s="16"/>
    </row>
    <row r="15" spans="1:30" ht="16.5" customHeight="1">
      <c r="A15" s="377" t="s">
        <v>551</v>
      </c>
      <c r="B15" s="516" t="str">
        <f>'MÃO DE OBRA'!B7</f>
        <v>Motorista noturno</v>
      </c>
      <c r="C15" s="517"/>
      <c r="D15" s="517"/>
      <c r="E15" s="517"/>
      <c r="F15" s="517"/>
      <c r="G15" s="517"/>
      <c r="H15" s="517"/>
      <c r="I15" s="517"/>
      <c r="J15" s="517"/>
      <c r="K15" s="517"/>
      <c r="L15" s="517"/>
      <c r="M15" s="517"/>
      <c r="N15" s="518"/>
      <c r="O15" s="519">
        <f>R127</f>
        <v>5842.1777074522679</v>
      </c>
      <c r="P15" s="520"/>
      <c r="Q15" s="521"/>
      <c r="R15" s="522"/>
      <c r="S15" s="522"/>
      <c r="T15" s="18"/>
      <c r="U15" s="18"/>
      <c r="V15" s="18"/>
      <c r="X15" s="16"/>
      <c r="Y15" s="16"/>
      <c r="AD15" s="16"/>
    </row>
    <row r="16" spans="1:30" ht="13.8">
      <c r="A16" s="377" t="s">
        <v>557</v>
      </c>
      <c r="B16" s="516" t="str">
        <f>'MÃO DE OBRA'!B8</f>
        <v>Fiscal</v>
      </c>
      <c r="C16" s="517"/>
      <c r="D16" s="517"/>
      <c r="E16" s="517"/>
      <c r="F16" s="517"/>
      <c r="G16" s="517"/>
      <c r="H16" s="517"/>
      <c r="I16" s="517"/>
      <c r="J16" s="517"/>
      <c r="K16" s="517"/>
      <c r="L16" s="517"/>
      <c r="M16" s="517"/>
      <c r="N16" s="518"/>
      <c r="O16" s="519">
        <f>R145</f>
        <v>5366.6100880000004</v>
      </c>
      <c r="P16" s="520"/>
      <c r="Q16" s="521"/>
      <c r="R16" s="522"/>
      <c r="S16" s="522"/>
      <c r="T16" s="18"/>
      <c r="U16" s="18"/>
      <c r="V16" s="18"/>
      <c r="X16" s="16"/>
      <c r="Y16" s="16"/>
      <c r="AD16" s="16"/>
    </row>
    <row r="17" spans="1:30" ht="13.8">
      <c r="A17" s="377" t="s">
        <v>563</v>
      </c>
      <c r="B17" s="516" t="str">
        <f>'MÃO DE OBRA'!B9</f>
        <v>Encarregado</v>
      </c>
      <c r="C17" s="517"/>
      <c r="D17" s="517"/>
      <c r="E17" s="517"/>
      <c r="F17" s="517"/>
      <c r="G17" s="517"/>
      <c r="H17" s="517"/>
      <c r="I17" s="517"/>
      <c r="J17" s="517"/>
      <c r="K17" s="517"/>
      <c r="L17" s="517"/>
      <c r="M17" s="517"/>
      <c r="N17" s="518"/>
      <c r="O17" s="519">
        <f>R162</f>
        <v>2572.0917799999997</v>
      </c>
      <c r="P17" s="520"/>
      <c r="Q17" s="521"/>
      <c r="R17" s="522"/>
      <c r="S17" s="522"/>
      <c r="T17" s="18"/>
      <c r="U17" s="18"/>
      <c r="V17" s="18"/>
      <c r="X17" s="16"/>
      <c r="Y17" s="16"/>
      <c r="AD17" s="16"/>
    </row>
    <row r="18" spans="1:30" ht="16.5" customHeight="1">
      <c r="A18" s="378" t="s">
        <v>552</v>
      </c>
      <c r="B18" s="546" t="s">
        <v>554</v>
      </c>
      <c r="C18" s="547"/>
      <c r="D18" s="547"/>
      <c r="E18" s="547"/>
      <c r="F18" s="547"/>
      <c r="G18" s="547"/>
      <c r="H18" s="547"/>
      <c r="I18" s="547"/>
      <c r="J18" s="547"/>
      <c r="K18" s="547"/>
      <c r="L18" s="547"/>
      <c r="M18" s="547"/>
      <c r="N18" s="548"/>
      <c r="O18" s="512">
        <f>O19+O28</f>
        <v>131866.80351851851</v>
      </c>
      <c r="P18" s="513"/>
      <c r="Q18" s="514"/>
      <c r="R18" s="515">
        <f>O18/$O$30</f>
        <v>0.52214853392970284</v>
      </c>
      <c r="S18" s="515"/>
      <c r="T18" s="18"/>
      <c r="U18" s="18"/>
      <c r="V18" s="18"/>
      <c r="X18" s="16"/>
      <c r="Y18" s="16"/>
      <c r="AD18" s="16"/>
    </row>
    <row r="19" spans="1:30" ht="16.5" customHeight="1">
      <c r="A19" s="413" t="s">
        <v>616</v>
      </c>
      <c r="B19" s="725" t="str">
        <f>A191&amp;" "&amp;D191</f>
        <v>Veículos Coletores: Caminhão Compactador 15 m³</v>
      </c>
      <c r="C19" s="726"/>
      <c r="D19" s="726"/>
      <c r="E19" s="726"/>
      <c r="F19" s="726"/>
      <c r="G19" s="726"/>
      <c r="H19" s="726"/>
      <c r="I19" s="726"/>
      <c r="J19" s="726"/>
      <c r="K19" s="726"/>
      <c r="L19" s="726"/>
      <c r="M19" s="726"/>
      <c r="N19" s="727"/>
      <c r="O19" s="728">
        <f>SUM(O20:Q27)</f>
        <v>129376.80351851851</v>
      </c>
      <c r="P19" s="729"/>
      <c r="Q19" s="730"/>
      <c r="R19" s="731">
        <f>O19/$O$30</f>
        <v>0.51228896491920228</v>
      </c>
      <c r="S19" s="731"/>
      <c r="T19" s="18"/>
      <c r="U19" s="18"/>
      <c r="V19" s="18"/>
      <c r="X19" s="16"/>
      <c r="Y19" s="16"/>
      <c r="AD19" s="16"/>
    </row>
    <row r="20" spans="1:30" ht="16.5" customHeight="1">
      <c r="A20" s="377" t="s">
        <v>620</v>
      </c>
      <c r="B20" s="516" t="s">
        <v>166</v>
      </c>
      <c r="C20" s="517"/>
      <c r="D20" s="517"/>
      <c r="E20" s="517"/>
      <c r="F20" s="517"/>
      <c r="G20" s="517"/>
      <c r="H20" s="517"/>
      <c r="I20" s="517"/>
      <c r="J20" s="517"/>
      <c r="K20" s="517"/>
      <c r="L20" s="517"/>
      <c r="M20" s="517"/>
      <c r="N20" s="518"/>
      <c r="O20" s="519">
        <f>F213</f>
        <v>25410.293518518516</v>
      </c>
      <c r="P20" s="520"/>
      <c r="Q20" s="521"/>
      <c r="R20" s="522"/>
      <c r="S20" s="522"/>
      <c r="T20" s="18"/>
      <c r="U20" s="18"/>
      <c r="V20" s="18"/>
      <c r="X20" s="16"/>
      <c r="Y20" s="16"/>
      <c r="AD20" s="16"/>
    </row>
    <row r="21" spans="1:30" ht="16.5" customHeight="1">
      <c r="A21" s="377" t="s">
        <v>622</v>
      </c>
      <c r="B21" s="516" t="s">
        <v>184</v>
      </c>
      <c r="C21" s="517"/>
      <c r="D21" s="517"/>
      <c r="E21" s="517"/>
      <c r="F21" s="517"/>
      <c r="G21" s="517"/>
      <c r="H21" s="517"/>
      <c r="I21" s="517"/>
      <c r="J21" s="517"/>
      <c r="K21" s="517"/>
      <c r="L21" s="517"/>
      <c r="M21" s="517"/>
      <c r="N21" s="518"/>
      <c r="O21" s="519">
        <f>Q222</f>
        <v>4456.833333333333</v>
      </c>
      <c r="P21" s="520"/>
      <c r="Q21" s="521"/>
      <c r="R21" s="522"/>
      <c r="S21" s="522"/>
      <c r="T21" s="18"/>
      <c r="U21" s="18"/>
      <c r="V21" s="18"/>
      <c r="X21" s="16"/>
      <c r="Y21" s="16"/>
      <c r="AD21" s="16"/>
    </row>
    <row r="22" spans="1:30" ht="16.5" customHeight="1">
      <c r="A22" s="377" t="s">
        <v>621</v>
      </c>
      <c r="B22" s="516" t="s">
        <v>163</v>
      </c>
      <c r="C22" s="517"/>
      <c r="D22" s="517"/>
      <c r="E22" s="517"/>
      <c r="F22" s="517"/>
      <c r="G22" s="517"/>
      <c r="H22" s="517"/>
      <c r="I22" s="517"/>
      <c r="J22" s="517"/>
      <c r="K22" s="517"/>
      <c r="L22" s="517"/>
      <c r="M22" s="517"/>
      <c r="N22" s="518"/>
      <c r="O22" s="519">
        <f>N229</f>
        <v>27445.666666666664</v>
      </c>
      <c r="P22" s="520"/>
      <c r="Q22" s="521"/>
      <c r="R22" s="522"/>
      <c r="S22" s="522"/>
      <c r="T22" s="18"/>
      <c r="U22" s="18"/>
      <c r="V22" s="18"/>
      <c r="X22" s="16"/>
      <c r="Y22" s="16"/>
      <c r="AD22" s="16"/>
    </row>
    <row r="23" spans="1:30" ht="16.5" customHeight="1">
      <c r="A23" s="377"/>
      <c r="B23" s="516" t="s">
        <v>167</v>
      </c>
      <c r="C23" s="517"/>
      <c r="D23" s="517"/>
      <c r="E23" s="517"/>
      <c r="F23" s="517"/>
      <c r="G23" s="517"/>
      <c r="H23" s="517"/>
      <c r="I23" s="517"/>
      <c r="J23" s="517"/>
      <c r="K23" s="517"/>
      <c r="L23" s="517"/>
      <c r="M23" s="517"/>
      <c r="N23" s="518"/>
      <c r="O23" s="519">
        <f>H237</f>
        <v>4500</v>
      </c>
      <c r="P23" s="520"/>
      <c r="Q23" s="521"/>
      <c r="R23" s="522"/>
      <c r="S23" s="522"/>
      <c r="T23" s="18"/>
      <c r="U23" s="18"/>
      <c r="V23" s="18"/>
      <c r="X23" s="16"/>
      <c r="Y23" s="16"/>
      <c r="AD23" s="16"/>
    </row>
    <row r="24" spans="1:30" ht="16.5" customHeight="1">
      <c r="A24" s="377" t="s">
        <v>619</v>
      </c>
      <c r="B24" s="516" t="s">
        <v>169</v>
      </c>
      <c r="C24" s="517"/>
      <c r="D24" s="517"/>
      <c r="E24" s="517"/>
      <c r="F24" s="517"/>
      <c r="G24" s="517"/>
      <c r="H24" s="517"/>
      <c r="I24" s="517"/>
      <c r="J24" s="517"/>
      <c r="K24" s="517"/>
      <c r="L24" s="517"/>
      <c r="M24" s="517"/>
      <c r="N24" s="518"/>
      <c r="O24" s="519">
        <f>O248</f>
        <v>2524.4500000000003</v>
      </c>
      <c r="P24" s="520"/>
      <c r="Q24" s="521"/>
      <c r="R24" s="522"/>
      <c r="S24" s="522"/>
      <c r="T24" s="18"/>
      <c r="U24" s="18"/>
      <c r="V24" s="18"/>
      <c r="X24" s="16"/>
      <c r="Y24" s="16"/>
      <c r="AD24" s="16"/>
    </row>
    <row r="25" spans="1:30" ht="16.5" customHeight="1">
      <c r="A25" s="377" t="s">
        <v>617</v>
      </c>
      <c r="B25" s="516" t="s">
        <v>173</v>
      </c>
      <c r="C25" s="517"/>
      <c r="D25" s="517"/>
      <c r="E25" s="517"/>
      <c r="F25" s="517"/>
      <c r="G25" s="517"/>
      <c r="H25" s="517"/>
      <c r="I25" s="517"/>
      <c r="J25" s="517"/>
      <c r="K25" s="517"/>
      <c r="L25" s="517"/>
      <c r="M25" s="517"/>
      <c r="N25" s="518"/>
      <c r="O25" s="519">
        <f>I255</f>
        <v>48028</v>
      </c>
      <c r="P25" s="520"/>
      <c r="Q25" s="521"/>
      <c r="R25" s="522"/>
      <c r="S25" s="522"/>
      <c r="T25" s="18"/>
      <c r="U25" s="18"/>
      <c r="V25" s="18"/>
      <c r="X25" s="16"/>
      <c r="Y25" s="16"/>
      <c r="AD25" s="16"/>
    </row>
    <row r="26" spans="1:30" ht="16.5" customHeight="1">
      <c r="A26" s="377" t="s">
        <v>618</v>
      </c>
      <c r="B26" s="516" t="s">
        <v>623</v>
      </c>
      <c r="C26" s="517"/>
      <c r="D26" s="517"/>
      <c r="E26" s="517"/>
      <c r="F26" s="517"/>
      <c r="G26" s="517"/>
      <c r="H26" s="517"/>
      <c r="I26" s="517"/>
      <c r="J26" s="517"/>
      <c r="K26" s="517"/>
      <c r="L26" s="517"/>
      <c r="M26" s="517"/>
      <c r="N26" s="518"/>
      <c r="O26" s="519">
        <f>G265</f>
        <v>16261.56</v>
      </c>
      <c r="P26" s="520"/>
      <c r="Q26" s="521"/>
      <c r="R26" s="522"/>
      <c r="S26" s="522"/>
      <c r="T26" s="18"/>
      <c r="U26" s="18"/>
      <c r="V26" s="18"/>
      <c r="X26" s="16"/>
      <c r="Y26" s="16"/>
      <c r="AD26" s="16"/>
    </row>
    <row r="27" spans="1:30" ht="16.5" customHeight="1">
      <c r="A27" s="377"/>
      <c r="B27" s="516" t="s">
        <v>214</v>
      </c>
      <c r="C27" s="517"/>
      <c r="D27" s="517"/>
      <c r="E27" s="517"/>
      <c r="F27" s="517"/>
      <c r="G27" s="517"/>
      <c r="H27" s="517"/>
      <c r="I27" s="517"/>
      <c r="J27" s="517"/>
      <c r="K27" s="517"/>
      <c r="L27" s="517"/>
      <c r="M27" s="517"/>
      <c r="N27" s="518"/>
      <c r="O27" s="519">
        <f>G270</f>
        <v>750</v>
      </c>
      <c r="P27" s="520"/>
      <c r="Q27" s="521"/>
      <c r="R27" s="522"/>
      <c r="S27" s="522"/>
      <c r="T27" s="18"/>
      <c r="U27" s="18"/>
      <c r="V27" s="18"/>
      <c r="X27" s="16"/>
      <c r="Y27" s="16"/>
      <c r="AD27" s="16"/>
    </row>
    <row r="28" spans="1:30" ht="16.5" customHeight="1">
      <c r="A28" s="413" t="s">
        <v>624</v>
      </c>
      <c r="B28" s="725" t="s">
        <v>625</v>
      </c>
      <c r="C28" s="726"/>
      <c r="D28" s="726"/>
      <c r="E28" s="726"/>
      <c r="F28" s="726"/>
      <c r="G28" s="726"/>
      <c r="H28" s="726"/>
      <c r="I28" s="726"/>
      <c r="J28" s="726"/>
      <c r="K28" s="726"/>
      <c r="L28" s="726"/>
      <c r="M28" s="726"/>
      <c r="N28" s="727"/>
      <c r="O28" s="728">
        <f>H275</f>
        <v>2490</v>
      </c>
      <c r="P28" s="729"/>
      <c r="Q28" s="730"/>
      <c r="R28" s="731">
        <f>O28/$O$30</f>
        <v>9.8595690105006267E-3</v>
      </c>
      <c r="S28" s="731"/>
      <c r="T28" s="18"/>
      <c r="U28" s="18"/>
      <c r="V28" s="18"/>
      <c r="X28" s="16"/>
      <c r="Y28" s="16"/>
      <c r="AD28" s="16"/>
    </row>
    <row r="29" spans="1:30" ht="16.5" customHeight="1">
      <c r="A29" s="413" t="s">
        <v>553</v>
      </c>
      <c r="B29" s="725" t="s">
        <v>614</v>
      </c>
      <c r="C29" s="726"/>
      <c r="D29" s="726"/>
      <c r="E29" s="726"/>
      <c r="F29" s="726"/>
      <c r="G29" s="726"/>
      <c r="H29" s="726"/>
      <c r="I29" s="726"/>
      <c r="J29" s="726"/>
      <c r="K29" s="726"/>
      <c r="L29" s="726"/>
      <c r="M29" s="726"/>
      <c r="N29" s="727"/>
      <c r="O29" s="728">
        <f>L282</f>
        <v>44.129999999999995</v>
      </c>
      <c r="P29" s="729"/>
      <c r="Q29" s="730"/>
      <c r="R29" s="731">
        <f>O29/$O$30</f>
        <v>1.7474007246320988E-4</v>
      </c>
      <c r="S29" s="731"/>
      <c r="T29" s="18"/>
      <c r="U29" s="18"/>
      <c r="V29" s="18"/>
      <c r="X29" s="16"/>
      <c r="Y29" s="16"/>
      <c r="AD29" s="16"/>
    </row>
    <row r="30" spans="1:30" ht="18">
      <c r="A30" s="533" t="s">
        <v>626</v>
      </c>
      <c r="B30" s="533"/>
      <c r="C30" s="533"/>
      <c r="D30" s="533"/>
      <c r="E30" s="533"/>
      <c r="F30" s="533"/>
      <c r="G30" s="533"/>
      <c r="H30" s="533"/>
      <c r="I30" s="533"/>
      <c r="J30" s="533"/>
      <c r="K30" s="533"/>
      <c r="L30" s="533"/>
      <c r="M30" s="533"/>
      <c r="N30" s="534"/>
      <c r="O30" s="535">
        <f>O11+O18+O29</f>
        <v>252546.53599443374</v>
      </c>
      <c r="P30" s="536"/>
      <c r="Q30" s="537"/>
      <c r="R30" s="538">
        <v>1</v>
      </c>
      <c r="S30" s="538"/>
      <c r="T30" s="18"/>
      <c r="U30" s="18"/>
      <c r="V30" s="18"/>
      <c r="X30" s="16"/>
      <c r="Y30" s="16"/>
      <c r="AD30" s="16"/>
    </row>
    <row r="31" spans="1:30" ht="10.5" customHeight="1">
      <c r="A31" s="383"/>
      <c r="B31" s="384"/>
      <c r="C31" s="384"/>
      <c r="D31" s="384"/>
      <c r="E31" s="384"/>
      <c r="F31" s="384"/>
      <c r="G31" s="384"/>
      <c r="H31" s="384"/>
      <c r="I31" s="384"/>
      <c r="J31" s="384"/>
      <c r="K31" s="384"/>
      <c r="L31" s="384"/>
      <c r="M31" s="384"/>
      <c r="N31" s="384"/>
      <c r="O31" s="384"/>
      <c r="P31" s="316"/>
      <c r="Q31" s="316"/>
      <c r="R31" s="385"/>
      <c r="S31" s="385"/>
      <c r="T31" s="18"/>
      <c r="U31" s="18"/>
      <c r="V31" s="18"/>
      <c r="X31" s="16"/>
      <c r="Y31" s="16"/>
      <c r="AD31" s="16"/>
    </row>
    <row r="32" spans="1:30" ht="16.5" customHeight="1">
      <c r="A32" s="525" t="s">
        <v>556</v>
      </c>
      <c r="B32" s="525"/>
      <c r="C32" s="525"/>
      <c r="D32" s="525"/>
      <c r="E32" s="525"/>
      <c r="F32" s="525"/>
      <c r="G32" s="525"/>
      <c r="H32" s="525"/>
      <c r="I32" s="525"/>
      <c r="J32" s="525"/>
      <c r="K32" s="525"/>
      <c r="L32" s="525"/>
      <c r="M32" s="525"/>
      <c r="N32" s="525"/>
      <c r="O32" s="525"/>
      <c r="P32" s="525"/>
      <c r="Q32" s="525"/>
      <c r="R32" s="525"/>
      <c r="S32" s="525"/>
      <c r="T32" s="18"/>
      <c r="U32" s="18"/>
      <c r="V32" s="18"/>
    </row>
    <row r="33" spans="1:30" ht="13.8">
      <c r="A33" s="539" t="s">
        <v>547</v>
      </c>
      <c r="B33" s="540"/>
      <c r="C33" s="540"/>
      <c r="D33" s="540"/>
      <c r="E33" s="540"/>
      <c r="F33" s="540"/>
      <c r="G33" s="540"/>
      <c r="H33" s="540"/>
      <c r="I33" s="540"/>
      <c r="J33" s="540"/>
      <c r="K33" s="540"/>
      <c r="L33" s="540"/>
      <c r="M33" s="540"/>
      <c r="N33" s="540"/>
      <c r="O33" s="540"/>
      <c r="P33" s="540"/>
      <c r="Q33" s="541"/>
      <c r="R33" s="542" t="s">
        <v>36</v>
      </c>
      <c r="S33" s="543"/>
      <c r="T33" s="18"/>
      <c r="U33" s="18"/>
      <c r="V33" s="18"/>
      <c r="X33" s="16"/>
      <c r="Y33" s="16"/>
      <c r="AD33" s="16"/>
    </row>
    <row r="34" spans="1:30" ht="13.8">
      <c r="A34" s="377" t="s">
        <v>548</v>
      </c>
      <c r="B34" s="516" t="str">
        <f>'MÃO DE OBRA'!B4</f>
        <v>Coletor diurno (inclusive reserva)</v>
      </c>
      <c r="C34" s="517"/>
      <c r="D34" s="517"/>
      <c r="E34" s="517"/>
      <c r="F34" s="517"/>
      <c r="G34" s="517"/>
      <c r="H34" s="517"/>
      <c r="I34" s="517"/>
      <c r="J34" s="517"/>
      <c r="K34" s="517"/>
      <c r="L34" s="517"/>
      <c r="M34" s="517"/>
      <c r="N34" s="517"/>
      <c r="O34" s="517"/>
      <c r="P34" s="517"/>
      <c r="Q34" s="518"/>
      <c r="R34" s="736">
        <f>'MÃO DE OBRA'!C4</f>
        <v>15</v>
      </c>
      <c r="S34" s="737"/>
      <c r="T34" s="18"/>
      <c r="U34" s="18"/>
      <c r="V34" s="18"/>
      <c r="X34" s="16"/>
      <c r="Y34" s="16"/>
      <c r="AD34" s="16"/>
    </row>
    <row r="35" spans="1:30" ht="16.5" customHeight="1">
      <c r="A35" s="377" t="s">
        <v>549</v>
      </c>
      <c r="B35" s="516" t="str">
        <f>'MÃO DE OBRA'!B5</f>
        <v>Coletor noturno</v>
      </c>
      <c r="C35" s="517"/>
      <c r="D35" s="517"/>
      <c r="E35" s="517"/>
      <c r="F35" s="517"/>
      <c r="G35" s="517"/>
      <c r="H35" s="517"/>
      <c r="I35" s="517"/>
      <c r="J35" s="517"/>
      <c r="K35" s="517"/>
      <c r="L35" s="517"/>
      <c r="M35" s="517"/>
      <c r="N35" s="517"/>
      <c r="O35" s="517"/>
      <c r="P35" s="517"/>
      <c r="Q35" s="518"/>
      <c r="R35" s="736">
        <f>'MÃO DE OBRA'!C5</f>
        <v>3</v>
      </c>
      <c r="S35" s="737"/>
      <c r="T35" s="18"/>
      <c r="U35" s="18"/>
      <c r="V35" s="18"/>
      <c r="X35" s="16"/>
      <c r="Y35" s="16"/>
      <c r="AD35" s="16"/>
    </row>
    <row r="36" spans="1:30" ht="16.5" customHeight="1">
      <c r="A36" s="377" t="s">
        <v>550</v>
      </c>
      <c r="B36" s="516" t="str">
        <f>'MÃO DE OBRA'!B6</f>
        <v>Motorista diurno (inclusive reserva)</v>
      </c>
      <c r="C36" s="517"/>
      <c r="D36" s="517"/>
      <c r="E36" s="517"/>
      <c r="F36" s="517"/>
      <c r="G36" s="517"/>
      <c r="H36" s="517"/>
      <c r="I36" s="517"/>
      <c r="J36" s="517"/>
      <c r="K36" s="517"/>
      <c r="L36" s="517"/>
      <c r="M36" s="517"/>
      <c r="N36" s="517"/>
      <c r="O36" s="517"/>
      <c r="P36" s="517"/>
      <c r="Q36" s="518"/>
      <c r="R36" s="736">
        <f>'MÃO DE OBRA'!C6</f>
        <v>5</v>
      </c>
      <c r="S36" s="737"/>
      <c r="T36" s="18"/>
      <c r="U36" s="18"/>
      <c r="V36" s="18"/>
      <c r="X36" s="16"/>
      <c r="Y36" s="16"/>
      <c r="AD36" s="16"/>
    </row>
    <row r="37" spans="1:30" ht="16.5" customHeight="1">
      <c r="A37" s="377" t="s">
        <v>551</v>
      </c>
      <c r="B37" s="516" t="str">
        <f>'MÃO DE OBRA'!B7</f>
        <v>Motorista noturno</v>
      </c>
      <c r="C37" s="517"/>
      <c r="D37" s="517"/>
      <c r="E37" s="517"/>
      <c r="F37" s="517"/>
      <c r="G37" s="517"/>
      <c r="H37" s="517"/>
      <c r="I37" s="517"/>
      <c r="J37" s="517"/>
      <c r="K37" s="517"/>
      <c r="L37" s="517"/>
      <c r="M37" s="517"/>
      <c r="N37" s="517"/>
      <c r="O37" s="517"/>
      <c r="P37" s="517"/>
      <c r="Q37" s="518"/>
      <c r="R37" s="736">
        <f>'MÃO DE OBRA'!C7</f>
        <v>1</v>
      </c>
      <c r="S37" s="737"/>
      <c r="T37" s="18"/>
      <c r="U37" s="18"/>
      <c r="V37" s="18"/>
      <c r="X37" s="16"/>
      <c r="Y37" s="16"/>
      <c r="AD37" s="16"/>
    </row>
    <row r="38" spans="1:30" ht="13.8">
      <c r="A38" s="377" t="s">
        <v>557</v>
      </c>
      <c r="B38" s="516" t="s">
        <v>591</v>
      </c>
      <c r="C38" s="517"/>
      <c r="D38" s="517"/>
      <c r="E38" s="517"/>
      <c r="F38" s="517"/>
      <c r="G38" s="517"/>
      <c r="H38" s="517"/>
      <c r="I38" s="517"/>
      <c r="J38" s="517"/>
      <c r="K38" s="517"/>
      <c r="L38" s="517"/>
      <c r="M38" s="517"/>
      <c r="N38" s="517"/>
      <c r="O38" s="517"/>
      <c r="P38" s="517"/>
      <c r="Q38" s="518"/>
      <c r="R38" s="736">
        <f>'MÃO DE OBRA'!C8</f>
        <v>1</v>
      </c>
      <c r="S38" s="737"/>
      <c r="T38" s="18"/>
      <c r="U38" s="18"/>
      <c r="V38" s="18"/>
      <c r="X38" s="16"/>
      <c r="Y38" s="16"/>
      <c r="AD38" s="16"/>
    </row>
    <row r="39" spans="1:30" ht="13.8">
      <c r="A39" s="377" t="s">
        <v>563</v>
      </c>
      <c r="B39" s="516" t="s">
        <v>464</v>
      </c>
      <c r="C39" s="517"/>
      <c r="D39" s="517"/>
      <c r="E39" s="517"/>
      <c r="F39" s="517"/>
      <c r="G39" s="517"/>
      <c r="H39" s="517"/>
      <c r="I39" s="517"/>
      <c r="J39" s="517"/>
      <c r="K39" s="517"/>
      <c r="L39" s="517"/>
      <c r="M39" s="517"/>
      <c r="N39" s="517"/>
      <c r="O39" s="517"/>
      <c r="P39" s="517"/>
      <c r="Q39" s="518"/>
      <c r="R39" s="736">
        <f>'MÃO DE OBRA'!C9</f>
        <v>1</v>
      </c>
      <c r="S39" s="737"/>
      <c r="T39" s="18"/>
      <c r="U39" s="18"/>
      <c r="V39" s="18"/>
      <c r="X39" s="16"/>
      <c r="Y39" s="16"/>
      <c r="AD39" s="16"/>
    </row>
    <row r="40" spans="1:30" ht="13.8">
      <c r="A40" s="539" t="s">
        <v>558</v>
      </c>
      <c r="B40" s="540"/>
      <c r="C40" s="540"/>
      <c r="D40" s="540"/>
      <c r="E40" s="540"/>
      <c r="F40" s="540"/>
      <c r="G40" s="540"/>
      <c r="H40" s="540"/>
      <c r="I40" s="540"/>
      <c r="J40" s="540"/>
      <c r="K40" s="540"/>
      <c r="L40" s="540"/>
      <c r="M40" s="540"/>
      <c r="N40" s="540"/>
      <c r="O40" s="540"/>
      <c r="P40" s="540"/>
      <c r="Q40" s="541"/>
      <c r="R40" s="542">
        <f>SUM(R34:S39)</f>
        <v>26</v>
      </c>
      <c r="S40" s="543"/>
      <c r="T40" s="18"/>
      <c r="U40" s="18"/>
      <c r="V40" s="18"/>
      <c r="X40" s="16"/>
      <c r="Y40" s="16"/>
      <c r="AD40" s="16"/>
    </row>
    <row r="41" spans="1:30" ht="11.25" customHeight="1">
      <c r="A41" s="387"/>
      <c r="B41" s="387"/>
      <c r="C41" s="387"/>
      <c r="D41" s="387"/>
      <c r="E41" s="387"/>
      <c r="F41" s="387"/>
      <c r="G41" s="387"/>
      <c r="H41" s="387"/>
      <c r="I41" s="387"/>
      <c r="J41" s="387"/>
      <c r="K41" s="387"/>
      <c r="L41" s="387"/>
      <c r="M41" s="387"/>
      <c r="N41" s="387"/>
      <c r="O41" s="387"/>
      <c r="P41" s="387"/>
      <c r="Q41" s="387"/>
      <c r="R41" s="388"/>
      <c r="S41" s="388"/>
      <c r="T41" s="18"/>
      <c r="U41" s="18"/>
      <c r="V41" s="18"/>
      <c r="X41" s="16"/>
      <c r="Y41" s="16"/>
      <c r="AD41" s="16"/>
    </row>
    <row r="42" spans="1:30" ht="13.8">
      <c r="A42" s="539" t="s">
        <v>564</v>
      </c>
      <c r="B42" s="540"/>
      <c r="C42" s="540"/>
      <c r="D42" s="540"/>
      <c r="E42" s="540"/>
      <c r="F42" s="540"/>
      <c r="G42" s="540"/>
      <c r="H42" s="540"/>
      <c r="I42" s="540"/>
      <c r="J42" s="540"/>
      <c r="K42" s="540"/>
      <c r="L42" s="540"/>
      <c r="M42" s="540"/>
      <c r="N42" s="540"/>
      <c r="O42" s="540"/>
      <c r="P42" s="540"/>
      <c r="Q42" s="541"/>
      <c r="R42" s="542" t="s">
        <v>36</v>
      </c>
      <c r="S42" s="543"/>
      <c r="T42" s="18"/>
      <c r="U42" s="18"/>
      <c r="V42" s="18"/>
      <c r="X42" s="16"/>
      <c r="Y42" s="16"/>
      <c r="AD42" s="16"/>
    </row>
    <row r="43" spans="1:30" ht="13.8">
      <c r="A43" s="377" t="s">
        <v>555</v>
      </c>
      <c r="B43" s="516" t="str">
        <f>B19</f>
        <v>Veículos Coletores: Caminhão Compactador 15 m³</v>
      </c>
      <c r="C43" s="517"/>
      <c r="D43" s="517"/>
      <c r="E43" s="517"/>
      <c r="F43" s="517"/>
      <c r="G43" s="517"/>
      <c r="H43" s="517"/>
      <c r="I43" s="517"/>
      <c r="J43" s="517"/>
      <c r="K43" s="517"/>
      <c r="L43" s="517"/>
      <c r="M43" s="517"/>
      <c r="N43" s="517"/>
      <c r="O43" s="517"/>
      <c r="P43" s="517"/>
      <c r="Q43" s="518"/>
      <c r="R43" s="736">
        <v>5</v>
      </c>
      <c r="S43" s="737"/>
      <c r="T43" s="18"/>
      <c r="U43" s="18"/>
      <c r="V43" s="18"/>
      <c r="X43" s="16"/>
      <c r="Y43" s="16"/>
      <c r="AD43" s="16"/>
    </row>
    <row r="44" spans="1:30" ht="16.5" customHeight="1">
      <c r="A44" s="377" t="s">
        <v>565</v>
      </c>
      <c r="B44" s="516" t="s">
        <v>566</v>
      </c>
      <c r="C44" s="517"/>
      <c r="D44" s="517"/>
      <c r="E44" s="517"/>
      <c r="F44" s="517"/>
      <c r="G44" s="517"/>
      <c r="H44" s="517"/>
      <c r="I44" s="517"/>
      <c r="J44" s="517"/>
      <c r="K44" s="517"/>
      <c r="L44" s="517"/>
      <c r="M44" s="517"/>
      <c r="N44" s="517"/>
      <c r="O44" s="517"/>
      <c r="P44" s="517"/>
      <c r="Q44" s="518"/>
      <c r="R44" s="736">
        <v>1</v>
      </c>
      <c r="S44" s="737"/>
      <c r="T44" s="18"/>
      <c r="U44" s="18"/>
      <c r="V44" s="18"/>
      <c r="X44" s="16"/>
      <c r="Y44" s="16"/>
      <c r="AD44" s="16"/>
    </row>
    <row r="45" spans="1:30" ht="13.8">
      <c r="A45" s="539" t="s">
        <v>567</v>
      </c>
      <c r="B45" s="540"/>
      <c r="C45" s="540"/>
      <c r="D45" s="540"/>
      <c r="E45" s="540"/>
      <c r="F45" s="540"/>
      <c r="G45" s="540"/>
      <c r="H45" s="540"/>
      <c r="I45" s="540"/>
      <c r="J45" s="540"/>
      <c r="K45" s="540"/>
      <c r="L45" s="540"/>
      <c r="M45" s="540"/>
      <c r="N45" s="540"/>
      <c r="O45" s="540"/>
      <c r="P45" s="540"/>
      <c r="Q45" s="541"/>
      <c r="R45" s="542">
        <f>SUM(R43:S44)</f>
        <v>6</v>
      </c>
      <c r="S45" s="543"/>
      <c r="T45" s="18"/>
      <c r="U45" s="18"/>
      <c r="V45" s="18"/>
      <c r="X45" s="16"/>
      <c r="Y45" s="16"/>
      <c r="AD45" s="16"/>
    </row>
    <row r="46" spans="1:30" ht="15.6">
      <c r="A46" s="39"/>
      <c r="B46" s="42"/>
      <c r="C46" s="31"/>
      <c r="D46" s="31"/>
      <c r="E46" s="31"/>
      <c r="F46" s="31"/>
      <c r="G46" s="39"/>
      <c r="H46" s="19"/>
      <c r="I46" s="42"/>
      <c r="J46" s="19"/>
      <c r="K46" s="19"/>
      <c r="L46" s="19"/>
      <c r="M46" s="19"/>
      <c r="N46" s="19"/>
      <c r="O46" s="19"/>
      <c r="P46" s="19"/>
      <c r="Q46" s="19"/>
      <c r="R46" s="20"/>
      <c r="S46" s="19"/>
      <c r="T46" s="18"/>
      <c r="U46" s="18"/>
      <c r="V46" s="18"/>
      <c r="X46" s="16"/>
      <c r="Y46" s="16"/>
      <c r="AD46" s="16"/>
    </row>
    <row r="47" spans="1:30" ht="16.5" customHeight="1">
      <c r="A47" s="553" t="s">
        <v>589</v>
      </c>
      <c r="B47" s="553"/>
      <c r="C47" s="553"/>
      <c r="D47" s="553"/>
      <c r="E47" s="553"/>
      <c r="F47" s="553"/>
      <c r="G47" s="553"/>
      <c r="H47" s="553"/>
      <c r="I47" s="553"/>
      <c r="J47" s="553"/>
      <c r="K47" s="553"/>
      <c r="L47" s="553"/>
      <c r="M47" s="553"/>
      <c r="N47" s="553"/>
      <c r="O47" s="553"/>
      <c r="P47" s="553"/>
      <c r="Q47" s="553"/>
      <c r="R47" s="553"/>
      <c r="S47" s="553"/>
      <c r="T47" s="18"/>
      <c r="U47" s="18"/>
      <c r="V47" s="18"/>
    </row>
    <row r="48" spans="1:30" ht="15.6">
      <c r="A48" s="389" t="s">
        <v>546</v>
      </c>
      <c r="B48" s="390" t="s">
        <v>547</v>
      </c>
      <c r="C48" s="31"/>
      <c r="D48" s="31"/>
      <c r="E48" s="31"/>
      <c r="F48" s="31"/>
      <c r="G48" s="39"/>
      <c r="H48" s="19"/>
      <c r="I48" s="42"/>
      <c r="J48" s="19"/>
      <c r="K48" s="19"/>
      <c r="L48" s="19"/>
      <c r="M48" s="19"/>
      <c r="N48" s="19"/>
      <c r="O48" s="19"/>
      <c r="P48" s="19"/>
      <c r="Q48" s="19"/>
      <c r="R48" s="20"/>
      <c r="S48" s="19"/>
      <c r="T48" s="18"/>
      <c r="U48" s="18"/>
      <c r="V48" s="18"/>
      <c r="X48" s="16"/>
      <c r="Y48" s="16"/>
      <c r="AD48" s="16"/>
    </row>
    <row r="49" spans="1:30" ht="15.6">
      <c r="A49" s="400" t="str">
        <f>A34</f>
        <v>1.1</v>
      </c>
      <c r="B49" s="390" t="str">
        <f>B34</f>
        <v>Coletor diurno (inclusive reserva)</v>
      </c>
      <c r="C49" s="31"/>
      <c r="D49" s="31"/>
      <c r="E49" s="31"/>
      <c r="F49" s="31"/>
      <c r="G49" s="39"/>
      <c r="H49" s="19"/>
      <c r="I49" s="42"/>
      <c r="J49" s="19"/>
      <c r="K49" s="19"/>
      <c r="L49" s="19"/>
      <c r="M49" s="19"/>
      <c r="N49" s="19"/>
      <c r="O49" s="19"/>
      <c r="P49" s="19"/>
      <c r="Q49" s="19"/>
      <c r="R49" s="20"/>
      <c r="S49" s="19"/>
      <c r="T49" s="18"/>
      <c r="U49" s="18"/>
      <c r="V49" s="18"/>
      <c r="X49" s="16"/>
      <c r="Y49" s="16"/>
      <c r="AD49" s="16"/>
    </row>
    <row r="50" spans="1:30" ht="15.75" customHeight="1">
      <c r="A50" s="554" t="s">
        <v>569</v>
      </c>
      <c r="B50" s="554"/>
      <c r="C50" s="554"/>
      <c r="D50" s="554"/>
      <c r="E50" s="554"/>
      <c r="F50" s="554"/>
      <c r="G50" s="554"/>
      <c r="H50" s="554"/>
      <c r="I50" s="554"/>
      <c r="J50" s="555" t="s">
        <v>24</v>
      </c>
      <c r="K50" s="555"/>
      <c r="L50" s="555" t="s">
        <v>36</v>
      </c>
      <c r="M50" s="555"/>
      <c r="N50" s="555" t="s">
        <v>570</v>
      </c>
      <c r="O50" s="555"/>
      <c r="P50" s="555" t="s">
        <v>571</v>
      </c>
      <c r="Q50" s="555"/>
      <c r="R50" s="555" t="s">
        <v>572</v>
      </c>
      <c r="S50" s="555"/>
      <c r="T50" s="18"/>
      <c r="U50" s="18"/>
      <c r="V50" s="18"/>
      <c r="X50" s="16"/>
      <c r="Y50" s="16"/>
      <c r="AD50" s="16"/>
    </row>
    <row r="51" spans="1:30" ht="15.75" customHeight="1">
      <c r="A51" s="549" t="s">
        <v>568</v>
      </c>
      <c r="B51" s="549"/>
      <c r="C51" s="549"/>
      <c r="D51" s="549"/>
      <c r="E51" s="549"/>
      <c r="F51" s="549"/>
      <c r="G51" s="549"/>
      <c r="H51" s="549"/>
      <c r="I51" s="549"/>
      <c r="J51" s="550" t="s">
        <v>573</v>
      </c>
      <c r="K51" s="550"/>
      <c r="L51" s="550">
        <v>1</v>
      </c>
      <c r="M51" s="550"/>
      <c r="N51" s="551">
        <f>'BANCO DE DADOS'!E13</f>
        <v>1256.42</v>
      </c>
      <c r="O51" s="550"/>
      <c r="P51" s="551">
        <f>N51*L51</f>
        <v>1256.42</v>
      </c>
      <c r="Q51" s="550"/>
      <c r="R51" s="552"/>
      <c r="S51" s="552"/>
      <c r="T51" s="18"/>
      <c r="U51" s="18"/>
      <c r="V51" s="18"/>
      <c r="X51" s="16"/>
      <c r="Y51" s="16"/>
      <c r="AD51" s="16"/>
    </row>
    <row r="52" spans="1:30" ht="15.75" customHeight="1">
      <c r="A52" s="549" t="s">
        <v>68</v>
      </c>
      <c r="B52" s="549"/>
      <c r="C52" s="549"/>
      <c r="D52" s="549"/>
      <c r="E52" s="549"/>
      <c r="F52" s="549"/>
      <c r="G52" s="549"/>
      <c r="H52" s="549"/>
      <c r="I52" s="549"/>
      <c r="J52" s="550" t="s">
        <v>542</v>
      </c>
      <c r="K52" s="550"/>
      <c r="L52" s="576">
        <v>0.4</v>
      </c>
      <c r="M52" s="577"/>
      <c r="N52" s="551">
        <f>D165</f>
        <v>1045</v>
      </c>
      <c r="O52" s="550"/>
      <c r="P52" s="551">
        <f>N52*L52</f>
        <v>418</v>
      </c>
      <c r="Q52" s="550"/>
      <c r="R52" s="552"/>
      <c r="S52" s="552"/>
      <c r="T52" s="18"/>
      <c r="U52" s="18"/>
      <c r="V52" s="18"/>
      <c r="X52" s="16"/>
      <c r="Y52" s="16"/>
      <c r="AD52" s="16"/>
    </row>
    <row r="53" spans="1:30" ht="15.75" customHeight="1">
      <c r="A53" s="751" t="s">
        <v>575</v>
      </c>
      <c r="B53" s="752"/>
      <c r="C53" s="752"/>
      <c r="D53" s="752"/>
      <c r="E53" s="752"/>
      <c r="F53" s="752"/>
      <c r="G53" s="752"/>
      <c r="H53" s="752"/>
      <c r="I53" s="753"/>
      <c r="J53" s="550" t="s">
        <v>576</v>
      </c>
      <c r="K53" s="550"/>
      <c r="L53" s="550">
        <f>$D$166</f>
        <v>16</v>
      </c>
      <c r="M53" s="550"/>
      <c r="N53" s="551">
        <f>(N51/220)*1.5</f>
        <v>8.5665000000000013</v>
      </c>
      <c r="O53" s="550"/>
      <c r="P53" s="551">
        <f>N53*L53</f>
        <v>137.06400000000002</v>
      </c>
      <c r="Q53" s="550"/>
      <c r="R53" s="552"/>
      <c r="S53" s="552"/>
      <c r="T53" s="18"/>
      <c r="U53" s="18"/>
      <c r="V53" s="18"/>
      <c r="X53" s="16"/>
      <c r="Y53" s="16"/>
      <c r="AD53" s="16"/>
    </row>
    <row r="54" spans="1:30" ht="15.75" customHeight="1">
      <c r="A54" s="751" t="s">
        <v>574</v>
      </c>
      <c r="B54" s="752"/>
      <c r="C54" s="752"/>
      <c r="D54" s="752"/>
      <c r="E54" s="752"/>
      <c r="F54" s="752"/>
      <c r="G54" s="752"/>
      <c r="H54" s="752"/>
      <c r="I54" s="753"/>
      <c r="J54" s="550" t="s">
        <v>576</v>
      </c>
      <c r="K54" s="550"/>
      <c r="L54" s="550">
        <f>$D$167</f>
        <v>10</v>
      </c>
      <c r="M54" s="550"/>
      <c r="N54" s="551">
        <f>N51/220*2</f>
        <v>11.422000000000001</v>
      </c>
      <c r="O54" s="550"/>
      <c r="P54" s="551">
        <f>N54*L54</f>
        <v>114.22</v>
      </c>
      <c r="Q54" s="550"/>
      <c r="R54" s="552"/>
      <c r="S54" s="552"/>
      <c r="T54" s="18"/>
      <c r="U54" s="18"/>
      <c r="V54" s="18"/>
      <c r="X54" s="16"/>
      <c r="Y54" s="16"/>
      <c r="AD54" s="16"/>
    </row>
    <row r="55" spans="1:30" ht="15.75" customHeight="1">
      <c r="A55" s="561" t="s">
        <v>571</v>
      </c>
      <c r="B55" s="562"/>
      <c r="C55" s="562"/>
      <c r="D55" s="562"/>
      <c r="E55" s="562"/>
      <c r="F55" s="562"/>
      <c r="G55" s="562"/>
      <c r="H55" s="562"/>
      <c r="I55" s="562"/>
      <c r="J55" s="562"/>
      <c r="K55" s="562"/>
      <c r="L55" s="562"/>
      <c r="M55" s="562"/>
      <c r="N55" s="562"/>
      <c r="O55" s="563"/>
      <c r="P55" s="560">
        <f>SUM(P51:Q54)</f>
        <v>1925.7040000000002</v>
      </c>
      <c r="Q55" s="555"/>
      <c r="R55" s="552"/>
      <c r="S55" s="552"/>
      <c r="T55" s="18"/>
      <c r="U55" s="18"/>
      <c r="V55" s="18"/>
      <c r="X55" s="16"/>
      <c r="Y55" s="16"/>
      <c r="AD55" s="16"/>
    </row>
    <row r="56" spans="1:30" ht="15.75" customHeight="1">
      <c r="A56" s="549" t="s">
        <v>1</v>
      </c>
      <c r="B56" s="549"/>
      <c r="C56" s="549"/>
      <c r="D56" s="549"/>
      <c r="E56" s="549"/>
      <c r="F56" s="549"/>
      <c r="G56" s="549"/>
      <c r="H56" s="549"/>
      <c r="I56" s="549"/>
      <c r="J56" s="550" t="s">
        <v>542</v>
      </c>
      <c r="K56" s="550"/>
      <c r="L56" s="564">
        <f>$D$168</f>
        <v>0.85355440000000016</v>
      </c>
      <c r="M56" s="564"/>
      <c r="N56" s="551">
        <f>P55</f>
        <v>1925.7040000000002</v>
      </c>
      <c r="O56" s="550"/>
      <c r="P56" s="551">
        <f>L56*N56</f>
        <v>1643.6931222976004</v>
      </c>
      <c r="Q56" s="550"/>
      <c r="R56" s="552"/>
      <c r="S56" s="552"/>
      <c r="T56" s="18"/>
      <c r="U56" s="18"/>
      <c r="V56" s="18"/>
      <c r="X56" s="16"/>
      <c r="Y56" s="16"/>
      <c r="AD56" s="16"/>
    </row>
    <row r="57" spans="1:30" ht="15.75" customHeight="1">
      <c r="A57" s="549" t="s">
        <v>586</v>
      </c>
      <c r="B57" s="549"/>
      <c r="C57" s="549"/>
      <c r="D57" s="549"/>
      <c r="E57" s="549"/>
      <c r="F57" s="549"/>
      <c r="G57" s="549"/>
      <c r="H57" s="549"/>
      <c r="I57" s="549"/>
      <c r="J57" s="550" t="s">
        <v>577</v>
      </c>
      <c r="K57" s="550"/>
      <c r="L57" s="576">
        <v>0.06</v>
      </c>
      <c r="M57" s="630"/>
      <c r="N57" s="551">
        <f>$F$169</f>
        <v>166.4</v>
      </c>
      <c r="O57" s="550"/>
      <c r="P57" s="551">
        <f>N57-N51*L57</f>
        <v>91.014800000000008</v>
      </c>
      <c r="Q57" s="550"/>
      <c r="R57" s="552"/>
      <c r="S57" s="552"/>
      <c r="T57" s="18"/>
      <c r="U57" s="18"/>
      <c r="V57" s="18"/>
      <c r="X57" s="16"/>
      <c r="Y57" s="16"/>
      <c r="AD57" s="16"/>
    </row>
    <row r="58" spans="1:30" ht="15.75" customHeight="1">
      <c r="A58" s="549" t="s">
        <v>588</v>
      </c>
      <c r="B58" s="549"/>
      <c r="C58" s="549"/>
      <c r="D58" s="549"/>
      <c r="E58" s="549"/>
      <c r="F58" s="549"/>
      <c r="G58" s="549"/>
      <c r="H58" s="549"/>
      <c r="I58" s="549"/>
      <c r="J58" s="550" t="s">
        <v>578</v>
      </c>
      <c r="K58" s="550"/>
      <c r="L58" s="550">
        <v>26</v>
      </c>
      <c r="M58" s="550"/>
      <c r="N58" s="551">
        <f>$D$173*0.9</f>
        <v>13.833</v>
      </c>
      <c r="O58" s="550"/>
      <c r="P58" s="551">
        <f t="shared" ref="P58:P64" si="0">N58*L58</f>
        <v>359.65800000000002</v>
      </c>
      <c r="Q58" s="550"/>
      <c r="R58" s="552"/>
      <c r="S58" s="552"/>
      <c r="T58" s="18"/>
      <c r="U58" s="18"/>
      <c r="V58" s="18"/>
      <c r="X58" s="16"/>
      <c r="Y58" s="16"/>
      <c r="AD58" s="16"/>
    </row>
    <row r="59" spans="1:30" ht="15.75" customHeight="1">
      <c r="A59" s="549" t="s">
        <v>4</v>
      </c>
      <c r="B59" s="549"/>
      <c r="C59" s="549"/>
      <c r="D59" s="549"/>
      <c r="E59" s="549"/>
      <c r="F59" s="549"/>
      <c r="G59" s="549"/>
      <c r="H59" s="549"/>
      <c r="I59" s="549"/>
      <c r="J59" s="550" t="s">
        <v>577</v>
      </c>
      <c r="K59" s="550"/>
      <c r="L59" s="550">
        <v>1</v>
      </c>
      <c r="M59" s="550"/>
      <c r="N59" s="551">
        <f>$D$172</f>
        <v>180.15</v>
      </c>
      <c r="O59" s="550"/>
      <c r="P59" s="551">
        <f t="shared" si="0"/>
        <v>180.15</v>
      </c>
      <c r="Q59" s="550"/>
      <c r="R59" s="552"/>
      <c r="S59" s="552"/>
      <c r="T59" s="18"/>
      <c r="U59" s="18"/>
      <c r="V59" s="18"/>
      <c r="X59" s="16"/>
      <c r="Y59" s="16"/>
      <c r="AD59" s="16"/>
    </row>
    <row r="60" spans="1:30" ht="15.75" customHeight="1">
      <c r="A60" s="549" t="s">
        <v>579</v>
      </c>
      <c r="B60" s="549"/>
      <c r="C60" s="549"/>
      <c r="D60" s="549"/>
      <c r="E60" s="549"/>
      <c r="F60" s="549"/>
      <c r="G60" s="549"/>
      <c r="H60" s="549"/>
      <c r="I60" s="549"/>
      <c r="J60" s="550" t="s">
        <v>577</v>
      </c>
      <c r="K60" s="550"/>
      <c r="L60" s="550">
        <v>1</v>
      </c>
      <c r="M60" s="550"/>
      <c r="N60" s="551">
        <f>(N59/12)*2</f>
        <v>30.025000000000002</v>
      </c>
      <c r="O60" s="550"/>
      <c r="P60" s="551">
        <f t="shared" si="0"/>
        <v>30.025000000000002</v>
      </c>
      <c r="Q60" s="550"/>
      <c r="R60" s="552"/>
      <c r="S60" s="552"/>
      <c r="T60" s="18"/>
      <c r="U60" s="18"/>
      <c r="V60" s="18"/>
      <c r="X60" s="16"/>
      <c r="Y60" s="16"/>
      <c r="AD60" s="16"/>
    </row>
    <row r="61" spans="1:30" ht="15.75" customHeight="1">
      <c r="A61" s="549" t="s">
        <v>580</v>
      </c>
      <c r="B61" s="549"/>
      <c r="C61" s="549"/>
      <c r="D61" s="549"/>
      <c r="E61" s="549"/>
      <c r="F61" s="549"/>
      <c r="G61" s="549"/>
      <c r="H61" s="549"/>
      <c r="I61" s="549"/>
      <c r="J61" s="550" t="s">
        <v>577</v>
      </c>
      <c r="K61" s="550"/>
      <c r="L61" s="550">
        <v>1</v>
      </c>
      <c r="M61" s="550"/>
      <c r="N61" s="551">
        <f>'BANCO DE DADOS'!$K$15</f>
        <v>37</v>
      </c>
      <c r="O61" s="550"/>
      <c r="P61" s="551">
        <f t="shared" si="0"/>
        <v>37</v>
      </c>
      <c r="Q61" s="550"/>
      <c r="R61" s="552"/>
      <c r="S61" s="552"/>
      <c r="T61" s="18"/>
      <c r="U61" s="18"/>
      <c r="V61" s="18"/>
      <c r="X61" s="16"/>
      <c r="Y61" s="16"/>
      <c r="AD61" s="16"/>
    </row>
    <row r="62" spans="1:30" ht="15.75" customHeight="1">
      <c r="A62" s="549" t="s">
        <v>244</v>
      </c>
      <c r="B62" s="549"/>
      <c r="C62" s="549"/>
      <c r="D62" s="549"/>
      <c r="E62" s="549"/>
      <c r="F62" s="549"/>
      <c r="G62" s="549"/>
      <c r="H62" s="549"/>
      <c r="I62" s="549"/>
      <c r="J62" s="550" t="s">
        <v>577</v>
      </c>
      <c r="K62" s="550"/>
      <c r="L62" s="550">
        <v>1</v>
      </c>
      <c r="M62" s="550"/>
      <c r="N62" s="551">
        <f>'BANCO DE DADOS'!$K$16</f>
        <v>12.91</v>
      </c>
      <c r="O62" s="550"/>
      <c r="P62" s="551">
        <f t="shared" si="0"/>
        <v>12.91</v>
      </c>
      <c r="Q62" s="550"/>
      <c r="R62" s="552"/>
      <c r="S62" s="552"/>
      <c r="T62" s="18"/>
      <c r="U62" s="18"/>
      <c r="V62" s="18"/>
      <c r="X62" s="16"/>
      <c r="Y62" s="16"/>
      <c r="AD62" s="16"/>
    </row>
    <row r="63" spans="1:30" ht="15.75" customHeight="1">
      <c r="A63" s="549" t="s">
        <v>581</v>
      </c>
      <c r="B63" s="549"/>
      <c r="C63" s="549"/>
      <c r="D63" s="549"/>
      <c r="E63" s="549"/>
      <c r="F63" s="549"/>
      <c r="G63" s="549"/>
      <c r="H63" s="549"/>
      <c r="I63" s="549"/>
      <c r="J63" s="550" t="s">
        <v>577</v>
      </c>
      <c r="K63" s="550"/>
      <c r="L63" s="550">
        <v>1</v>
      </c>
      <c r="M63" s="550"/>
      <c r="N63" s="551">
        <f>'BANCO DE DADOS'!$K$17</f>
        <v>32</v>
      </c>
      <c r="O63" s="550"/>
      <c r="P63" s="551">
        <f t="shared" si="0"/>
        <v>32</v>
      </c>
      <c r="Q63" s="550"/>
      <c r="R63" s="552"/>
      <c r="S63" s="552"/>
      <c r="T63" s="18"/>
      <c r="U63" s="18"/>
      <c r="V63" s="18"/>
      <c r="X63" s="16"/>
      <c r="Y63" s="16"/>
      <c r="AD63" s="16"/>
    </row>
    <row r="64" spans="1:30" ht="15.75" customHeight="1">
      <c r="A64" s="549" t="s">
        <v>582</v>
      </c>
      <c r="B64" s="549"/>
      <c r="C64" s="549"/>
      <c r="D64" s="549"/>
      <c r="E64" s="549"/>
      <c r="F64" s="549"/>
      <c r="G64" s="549"/>
      <c r="H64" s="549"/>
      <c r="I64" s="549"/>
      <c r="J64" s="550" t="s">
        <v>577</v>
      </c>
      <c r="K64" s="550"/>
      <c r="L64" s="550">
        <v>1</v>
      </c>
      <c r="M64" s="550"/>
      <c r="N64" s="551">
        <f>$I$185</f>
        <v>94.59</v>
      </c>
      <c r="O64" s="550"/>
      <c r="P64" s="551">
        <f t="shared" si="0"/>
        <v>94.59</v>
      </c>
      <c r="Q64" s="550"/>
      <c r="R64" s="552"/>
      <c r="S64" s="552"/>
      <c r="T64" s="18"/>
      <c r="U64" s="18"/>
      <c r="V64" s="18"/>
      <c r="X64" s="16"/>
      <c r="Y64" s="16"/>
      <c r="AD64" s="16"/>
    </row>
    <row r="65" spans="1:30" ht="15.75" customHeight="1">
      <c r="A65" s="561" t="s">
        <v>583</v>
      </c>
      <c r="B65" s="562"/>
      <c r="C65" s="562"/>
      <c r="D65" s="562"/>
      <c r="E65" s="562"/>
      <c r="F65" s="562"/>
      <c r="G65" s="562"/>
      <c r="H65" s="562"/>
      <c r="I65" s="562"/>
      <c r="J65" s="562"/>
      <c r="K65" s="562"/>
      <c r="L65" s="562"/>
      <c r="M65" s="562"/>
      <c r="N65" s="562"/>
      <c r="O65" s="563"/>
      <c r="P65" s="560">
        <f>SUM(P55:Q64)</f>
        <v>4406.7449222976002</v>
      </c>
      <c r="Q65" s="555"/>
      <c r="R65" s="565"/>
      <c r="S65" s="565"/>
      <c r="T65" s="18"/>
      <c r="U65" s="18"/>
      <c r="V65" s="18"/>
      <c r="X65" s="16"/>
      <c r="Y65" s="16"/>
      <c r="AD65" s="16"/>
    </row>
    <row r="66" spans="1:30" ht="15.75" customHeight="1">
      <c r="A66" s="549" t="s">
        <v>584</v>
      </c>
      <c r="B66" s="549"/>
      <c r="C66" s="549"/>
      <c r="D66" s="549"/>
      <c r="E66" s="549"/>
      <c r="F66" s="549"/>
      <c r="G66" s="549"/>
      <c r="H66" s="549"/>
      <c r="I66" s="549"/>
      <c r="J66" s="550" t="s">
        <v>585</v>
      </c>
      <c r="K66" s="550"/>
      <c r="L66" s="550">
        <f>R34</f>
        <v>15</v>
      </c>
      <c r="M66" s="550"/>
      <c r="N66" s="551">
        <f>P65</f>
        <v>4406.7449222976002</v>
      </c>
      <c r="O66" s="550"/>
      <c r="P66" s="551">
        <f>N66*L66</f>
        <v>66101.173834464003</v>
      </c>
      <c r="Q66" s="550"/>
      <c r="R66" s="552"/>
      <c r="S66" s="552"/>
      <c r="T66" s="18"/>
      <c r="U66" s="18"/>
      <c r="V66" s="18"/>
      <c r="X66" s="16"/>
      <c r="Y66" s="16"/>
      <c r="AD66" s="16"/>
    </row>
    <row r="67" spans="1:30" ht="15.75" customHeight="1">
      <c r="A67" s="556" t="s">
        <v>587</v>
      </c>
      <c r="B67" s="557"/>
      <c r="C67" s="557"/>
      <c r="D67" s="557"/>
      <c r="E67" s="557"/>
      <c r="F67" s="557"/>
      <c r="G67" s="557"/>
      <c r="H67" s="557"/>
      <c r="I67" s="557"/>
      <c r="J67" s="557"/>
      <c r="K67" s="557"/>
      <c r="L67" s="557"/>
      <c r="M67" s="557"/>
      <c r="N67" s="557"/>
      <c r="O67" s="558"/>
      <c r="P67" s="551">
        <v>1</v>
      </c>
      <c r="Q67" s="550"/>
      <c r="R67" s="560">
        <f>P66*P67</f>
        <v>66101.173834464003</v>
      </c>
      <c r="S67" s="555"/>
      <c r="T67" s="18"/>
      <c r="U67" s="18"/>
      <c r="V67" s="18"/>
      <c r="X67" s="16"/>
      <c r="Y67" s="16"/>
      <c r="AD67" s="16"/>
    </row>
    <row r="68" spans="1:30" ht="15.6">
      <c r="A68" s="400" t="str">
        <f>A35</f>
        <v>1.2</v>
      </c>
      <c r="B68" s="390" t="str">
        <f>B35</f>
        <v>Coletor noturno</v>
      </c>
      <c r="C68" s="31"/>
      <c r="D68" s="31"/>
      <c r="E68" s="31"/>
      <c r="F68" s="31"/>
      <c r="G68" s="39"/>
      <c r="H68" s="19"/>
      <c r="I68" s="42"/>
      <c r="J68" s="19"/>
      <c r="K68" s="19"/>
      <c r="L68" s="19"/>
      <c r="M68" s="19"/>
      <c r="N68" s="19"/>
      <c r="O68" s="19"/>
      <c r="P68" s="19"/>
      <c r="Q68" s="19"/>
      <c r="R68" s="20"/>
      <c r="S68" s="19"/>
      <c r="T68" s="18"/>
      <c r="U68" s="18"/>
      <c r="V68" s="18"/>
      <c r="X68" s="16"/>
      <c r="Y68" s="16"/>
      <c r="AD68" s="16"/>
    </row>
    <row r="69" spans="1:30" ht="15.75" customHeight="1">
      <c r="A69" s="554" t="s">
        <v>569</v>
      </c>
      <c r="B69" s="554"/>
      <c r="C69" s="554"/>
      <c r="D69" s="554"/>
      <c r="E69" s="554"/>
      <c r="F69" s="554"/>
      <c r="G69" s="554"/>
      <c r="H69" s="554"/>
      <c r="I69" s="554"/>
      <c r="J69" s="555" t="s">
        <v>24</v>
      </c>
      <c r="K69" s="555"/>
      <c r="L69" s="555" t="s">
        <v>36</v>
      </c>
      <c r="M69" s="555"/>
      <c r="N69" s="555" t="s">
        <v>570</v>
      </c>
      <c r="O69" s="555"/>
      <c r="P69" s="555" t="s">
        <v>571</v>
      </c>
      <c r="Q69" s="555"/>
      <c r="R69" s="555" t="s">
        <v>572</v>
      </c>
      <c r="S69" s="555"/>
      <c r="T69" s="18"/>
      <c r="U69" s="18"/>
      <c r="V69" s="18"/>
      <c r="X69" s="16"/>
      <c r="Y69" s="16"/>
      <c r="AD69" s="16"/>
    </row>
    <row r="70" spans="1:30" ht="15.75" customHeight="1">
      <c r="A70" s="549" t="s">
        <v>568</v>
      </c>
      <c r="B70" s="549"/>
      <c r="C70" s="549"/>
      <c r="D70" s="549"/>
      <c r="E70" s="549"/>
      <c r="F70" s="549"/>
      <c r="G70" s="549"/>
      <c r="H70" s="549"/>
      <c r="I70" s="549"/>
      <c r="J70" s="550" t="s">
        <v>573</v>
      </c>
      <c r="K70" s="550"/>
      <c r="L70" s="550">
        <v>1</v>
      </c>
      <c r="M70" s="550"/>
      <c r="N70" s="551">
        <f>'BANCO DE DADOS'!E13</f>
        <v>1256.42</v>
      </c>
      <c r="O70" s="550"/>
      <c r="P70" s="551">
        <f>N70*L70</f>
        <v>1256.42</v>
      </c>
      <c r="Q70" s="550"/>
      <c r="R70" s="552"/>
      <c r="S70" s="552"/>
      <c r="T70" s="18"/>
      <c r="U70" s="18"/>
      <c r="V70" s="18"/>
      <c r="X70" s="16"/>
      <c r="Y70" s="16"/>
      <c r="AD70" s="16"/>
    </row>
    <row r="71" spans="1:30" ht="15.75" customHeight="1">
      <c r="A71" s="549" t="s">
        <v>68</v>
      </c>
      <c r="B71" s="549"/>
      <c r="C71" s="549"/>
      <c r="D71" s="549"/>
      <c r="E71" s="549"/>
      <c r="F71" s="549"/>
      <c r="G71" s="549"/>
      <c r="H71" s="549"/>
      <c r="I71" s="549"/>
      <c r="J71" s="550" t="s">
        <v>542</v>
      </c>
      <c r="K71" s="550"/>
      <c r="L71" s="576">
        <v>0.4</v>
      </c>
      <c r="M71" s="577"/>
      <c r="N71" s="551">
        <f>$D$165</f>
        <v>1045</v>
      </c>
      <c r="O71" s="550"/>
      <c r="P71" s="551">
        <f>N71*L71</f>
        <v>418</v>
      </c>
      <c r="Q71" s="550"/>
      <c r="R71" s="552"/>
      <c r="S71" s="552"/>
      <c r="T71" s="18"/>
      <c r="U71" s="18"/>
      <c r="V71" s="18"/>
      <c r="X71" s="16"/>
      <c r="Y71" s="16"/>
      <c r="AD71" s="16"/>
    </row>
    <row r="72" spans="1:30" ht="15.75" customHeight="1">
      <c r="A72" s="549" t="s">
        <v>590</v>
      </c>
      <c r="B72" s="549"/>
      <c r="C72" s="549"/>
      <c r="D72" s="549"/>
      <c r="E72" s="549"/>
      <c r="F72" s="549"/>
      <c r="G72" s="549"/>
      <c r="H72" s="549"/>
      <c r="I72" s="549"/>
      <c r="J72" s="550" t="s">
        <v>542</v>
      </c>
      <c r="K72" s="550"/>
      <c r="L72" s="576">
        <v>0.2</v>
      </c>
      <c r="M72" s="577"/>
      <c r="N72" s="551">
        <f>N70</f>
        <v>1256.42</v>
      </c>
      <c r="O72" s="550"/>
      <c r="P72" s="551">
        <f>L72*N72</f>
        <v>251.28400000000002</v>
      </c>
      <c r="Q72" s="550"/>
      <c r="R72" s="552"/>
      <c r="S72" s="552"/>
      <c r="T72" s="18"/>
      <c r="U72" s="18"/>
      <c r="V72" s="18"/>
      <c r="X72" s="16"/>
      <c r="Y72" s="16"/>
      <c r="AD72" s="16"/>
    </row>
    <row r="73" spans="1:30" ht="15.75" customHeight="1">
      <c r="A73" s="751" t="s">
        <v>575</v>
      </c>
      <c r="B73" s="752"/>
      <c r="C73" s="752"/>
      <c r="D73" s="752"/>
      <c r="E73" s="752"/>
      <c r="F73" s="752"/>
      <c r="G73" s="752"/>
      <c r="H73" s="752"/>
      <c r="I73" s="753"/>
      <c r="J73" s="550" t="s">
        <v>576</v>
      </c>
      <c r="K73" s="550"/>
      <c r="L73" s="550">
        <f>$D$166</f>
        <v>16</v>
      </c>
      <c r="M73" s="550"/>
      <c r="N73" s="551">
        <f>(N70/220)*1.5</f>
        <v>8.5665000000000013</v>
      </c>
      <c r="O73" s="550"/>
      <c r="P73" s="551">
        <f>N73*L73</f>
        <v>137.06400000000002</v>
      </c>
      <c r="Q73" s="550"/>
      <c r="R73" s="552"/>
      <c r="S73" s="552"/>
      <c r="T73" s="18"/>
      <c r="U73" s="18"/>
      <c r="V73" s="18"/>
      <c r="X73" s="16"/>
      <c r="Y73" s="16"/>
      <c r="AD73" s="16"/>
    </row>
    <row r="74" spans="1:30" ht="15.75" customHeight="1">
      <c r="A74" s="751" t="s">
        <v>574</v>
      </c>
      <c r="B74" s="752"/>
      <c r="C74" s="752"/>
      <c r="D74" s="752"/>
      <c r="E74" s="752"/>
      <c r="F74" s="752"/>
      <c r="G74" s="752"/>
      <c r="H74" s="752"/>
      <c r="I74" s="753"/>
      <c r="J74" s="550" t="s">
        <v>576</v>
      </c>
      <c r="K74" s="550"/>
      <c r="L74" s="550">
        <f>$D$167</f>
        <v>10</v>
      </c>
      <c r="M74" s="550"/>
      <c r="N74" s="551">
        <f>N70/220*2</f>
        <v>11.422000000000001</v>
      </c>
      <c r="O74" s="550"/>
      <c r="P74" s="551">
        <f>N74*L74</f>
        <v>114.22</v>
      </c>
      <c r="Q74" s="550"/>
      <c r="R74" s="552"/>
      <c r="S74" s="552"/>
      <c r="T74" s="18"/>
      <c r="U74" s="18"/>
      <c r="V74" s="18"/>
      <c r="X74" s="16"/>
      <c r="Y74" s="16"/>
      <c r="AD74" s="16"/>
    </row>
    <row r="75" spans="1:30" ht="15.75" customHeight="1">
      <c r="A75" s="561" t="s">
        <v>571</v>
      </c>
      <c r="B75" s="562"/>
      <c r="C75" s="562"/>
      <c r="D75" s="562"/>
      <c r="E75" s="562"/>
      <c r="F75" s="562"/>
      <c r="G75" s="562"/>
      <c r="H75" s="562"/>
      <c r="I75" s="562"/>
      <c r="J75" s="562"/>
      <c r="K75" s="562"/>
      <c r="L75" s="562"/>
      <c r="M75" s="562"/>
      <c r="N75" s="562"/>
      <c r="O75" s="563"/>
      <c r="P75" s="560">
        <f>SUM(P70:Q74)</f>
        <v>2176.9879999999998</v>
      </c>
      <c r="Q75" s="555"/>
      <c r="R75" s="552"/>
      <c r="S75" s="552"/>
      <c r="T75" s="18"/>
      <c r="U75" s="18"/>
      <c r="V75" s="18"/>
      <c r="X75" s="16"/>
      <c r="Y75" s="16"/>
      <c r="AD75" s="16"/>
    </row>
    <row r="76" spans="1:30" ht="15.75" customHeight="1">
      <c r="A76" s="549" t="s">
        <v>1</v>
      </c>
      <c r="B76" s="549"/>
      <c r="C76" s="549"/>
      <c r="D76" s="549"/>
      <c r="E76" s="549"/>
      <c r="F76" s="549"/>
      <c r="G76" s="549"/>
      <c r="H76" s="549"/>
      <c r="I76" s="549"/>
      <c r="J76" s="550" t="s">
        <v>542</v>
      </c>
      <c r="K76" s="550"/>
      <c r="L76" s="564">
        <f>$D$168</f>
        <v>0.85355440000000016</v>
      </c>
      <c r="M76" s="564"/>
      <c r="N76" s="551">
        <f>P75</f>
        <v>2176.9879999999998</v>
      </c>
      <c r="O76" s="550"/>
      <c r="P76" s="551">
        <f>L76*N76</f>
        <v>1858.1776861472001</v>
      </c>
      <c r="Q76" s="550"/>
      <c r="R76" s="552"/>
      <c r="S76" s="552"/>
      <c r="T76" s="18"/>
      <c r="U76" s="18"/>
      <c r="V76" s="18"/>
      <c r="X76" s="16"/>
      <c r="Y76" s="16"/>
      <c r="AD76" s="16"/>
    </row>
    <row r="77" spans="1:30" ht="15.75" customHeight="1">
      <c r="A77" s="549" t="s">
        <v>586</v>
      </c>
      <c r="B77" s="549"/>
      <c r="C77" s="549"/>
      <c r="D77" s="549"/>
      <c r="E77" s="549"/>
      <c r="F77" s="549"/>
      <c r="G77" s="549"/>
      <c r="H77" s="549"/>
      <c r="I77" s="549"/>
      <c r="J77" s="550" t="s">
        <v>577</v>
      </c>
      <c r="K77" s="550"/>
      <c r="L77" s="576">
        <v>0.06</v>
      </c>
      <c r="M77" s="630"/>
      <c r="N77" s="551">
        <f>$F$169</f>
        <v>166.4</v>
      </c>
      <c r="O77" s="550"/>
      <c r="P77" s="551">
        <f>N77-N70*L77</f>
        <v>91.014800000000008</v>
      </c>
      <c r="Q77" s="550"/>
      <c r="R77" s="552"/>
      <c r="S77" s="552"/>
      <c r="T77" s="18"/>
      <c r="U77" s="18"/>
      <c r="V77" s="18"/>
      <c r="X77" s="16"/>
      <c r="Y77" s="16"/>
      <c r="AD77" s="16"/>
    </row>
    <row r="78" spans="1:30" ht="15.75" customHeight="1">
      <c r="A78" s="549" t="s">
        <v>588</v>
      </c>
      <c r="B78" s="549"/>
      <c r="C78" s="549"/>
      <c r="D78" s="549"/>
      <c r="E78" s="549"/>
      <c r="F78" s="549"/>
      <c r="G78" s="549"/>
      <c r="H78" s="549"/>
      <c r="I78" s="549"/>
      <c r="J78" s="550" t="s">
        <v>578</v>
      </c>
      <c r="K78" s="550"/>
      <c r="L78" s="550">
        <v>26</v>
      </c>
      <c r="M78" s="550"/>
      <c r="N78" s="551">
        <f>$D$173*0.9</f>
        <v>13.833</v>
      </c>
      <c r="O78" s="550"/>
      <c r="P78" s="551">
        <f t="shared" ref="P78:P84" si="1">N78*L78</f>
        <v>359.65800000000002</v>
      </c>
      <c r="Q78" s="550"/>
      <c r="R78" s="552"/>
      <c r="S78" s="552"/>
      <c r="T78" s="18"/>
      <c r="U78" s="18"/>
      <c r="V78" s="18"/>
      <c r="X78" s="16"/>
      <c r="Y78" s="16"/>
      <c r="AD78" s="16"/>
    </row>
    <row r="79" spans="1:30" ht="15.75" customHeight="1">
      <c r="A79" s="549" t="s">
        <v>4</v>
      </c>
      <c r="B79" s="549"/>
      <c r="C79" s="549"/>
      <c r="D79" s="549"/>
      <c r="E79" s="549"/>
      <c r="F79" s="549"/>
      <c r="G79" s="549"/>
      <c r="H79" s="549"/>
      <c r="I79" s="549"/>
      <c r="J79" s="550" t="s">
        <v>577</v>
      </c>
      <c r="K79" s="550"/>
      <c r="L79" s="550">
        <v>1</v>
      </c>
      <c r="M79" s="550"/>
      <c r="N79" s="551">
        <f>$D$172</f>
        <v>180.15</v>
      </c>
      <c r="O79" s="550"/>
      <c r="P79" s="551">
        <f t="shared" si="1"/>
        <v>180.15</v>
      </c>
      <c r="Q79" s="550"/>
      <c r="R79" s="552"/>
      <c r="S79" s="552"/>
      <c r="T79" s="18"/>
      <c r="U79" s="18"/>
      <c r="V79" s="18"/>
      <c r="X79" s="16"/>
      <c r="Y79" s="16"/>
      <c r="AD79" s="16"/>
    </row>
    <row r="80" spans="1:30" ht="15.75" customHeight="1">
      <c r="A80" s="549" t="s">
        <v>579</v>
      </c>
      <c r="B80" s="549"/>
      <c r="C80" s="549"/>
      <c r="D80" s="549"/>
      <c r="E80" s="549"/>
      <c r="F80" s="549"/>
      <c r="G80" s="549"/>
      <c r="H80" s="549"/>
      <c r="I80" s="549"/>
      <c r="J80" s="550" t="s">
        <v>577</v>
      </c>
      <c r="K80" s="550"/>
      <c r="L80" s="550">
        <v>1</v>
      </c>
      <c r="M80" s="550"/>
      <c r="N80" s="551">
        <f>(N79/12)*2</f>
        <v>30.025000000000002</v>
      </c>
      <c r="O80" s="550"/>
      <c r="P80" s="551">
        <f t="shared" si="1"/>
        <v>30.025000000000002</v>
      </c>
      <c r="Q80" s="550"/>
      <c r="R80" s="552"/>
      <c r="S80" s="552"/>
      <c r="T80" s="18"/>
      <c r="U80" s="18"/>
      <c r="V80" s="18"/>
      <c r="X80" s="16"/>
      <c r="Y80" s="16"/>
      <c r="AD80" s="16"/>
    </row>
    <row r="81" spans="1:30" ht="15.75" customHeight="1">
      <c r="A81" s="549" t="s">
        <v>580</v>
      </c>
      <c r="B81" s="549"/>
      <c r="C81" s="549"/>
      <c r="D81" s="549"/>
      <c r="E81" s="549"/>
      <c r="F81" s="549"/>
      <c r="G81" s="549"/>
      <c r="H81" s="549"/>
      <c r="I81" s="549"/>
      <c r="J81" s="550" t="s">
        <v>577</v>
      </c>
      <c r="K81" s="550"/>
      <c r="L81" s="550">
        <v>1</v>
      </c>
      <c r="M81" s="550"/>
      <c r="N81" s="551">
        <f>'BANCO DE DADOS'!$K$15</f>
        <v>37</v>
      </c>
      <c r="O81" s="550"/>
      <c r="P81" s="551">
        <f t="shared" si="1"/>
        <v>37</v>
      </c>
      <c r="Q81" s="550"/>
      <c r="R81" s="552"/>
      <c r="S81" s="552"/>
      <c r="T81" s="18"/>
      <c r="U81" s="18"/>
      <c r="V81" s="18"/>
      <c r="X81" s="16"/>
      <c r="Y81" s="16"/>
      <c r="AD81" s="16"/>
    </row>
    <row r="82" spans="1:30" ht="15.75" customHeight="1">
      <c r="A82" s="549" t="s">
        <v>244</v>
      </c>
      <c r="B82" s="549"/>
      <c r="C82" s="549"/>
      <c r="D82" s="549"/>
      <c r="E82" s="549"/>
      <c r="F82" s="549"/>
      <c r="G82" s="549"/>
      <c r="H82" s="549"/>
      <c r="I82" s="549"/>
      <c r="J82" s="550" t="s">
        <v>577</v>
      </c>
      <c r="K82" s="550"/>
      <c r="L82" s="550">
        <v>1</v>
      </c>
      <c r="M82" s="550"/>
      <c r="N82" s="551">
        <f>'BANCO DE DADOS'!$K$16</f>
        <v>12.91</v>
      </c>
      <c r="O82" s="550"/>
      <c r="P82" s="551">
        <f t="shared" si="1"/>
        <v>12.91</v>
      </c>
      <c r="Q82" s="550"/>
      <c r="R82" s="552"/>
      <c r="S82" s="552"/>
      <c r="T82" s="18"/>
      <c r="U82" s="18"/>
      <c r="V82" s="18"/>
      <c r="X82" s="16"/>
      <c r="Y82" s="16"/>
      <c r="AD82" s="16"/>
    </row>
    <row r="83" spans="1:30" ht="15.75" customHeight="1">
      <c r="A83" s="549" t="s">
        <v>581</v>
      </c>
      <c r="B83" s="549"/>
      <c r="C83" s="549"/>
      <c r="D83" s="549"/>
      <c r="E83" s="549"/>
      <c r="F83" s="549"/>
      <c r="G83" s="549"/>
      <c r="H83" s="549"/>
      <c r="I83" s="549"/>
      <c r="J83" s="550" t="s">
        <v>577</v>
      </c>
      <c r="K83" s="550"/>
      <c r="L83" s="550">
        <v>1</v>
      </c>
      <c r="M83" s="550"/>
      <c r="N83" s="551">
        <f>'BANCO DE DADOS'!$K$17</f>
        <v>32</v>
      </c>
      <c r="O83" s="550"/>
      <c r="P83" s="551">
        <f t="shared" si="1"/>
        <v>32</v>
      </c>
      <c r="Q83" s="550"/>
      <c r="R83" s="552"/>
      <c r="S83" s="552"/>
      <c r="T83" s="18"/>
      <c r="U83" s="18"/>
      <c r="V83" s="18"/>
      <c r="X83" s="16"/>
      <c r="Y83" s="16"/>
      <c r="AD83" s="16"/>
    </row>
    <row r="84" spans="1:30" ht="15.75" customHeight="1">
      <c r="A84" s="549" t="s">
        <v>582</v>
      </c>
      <c r="B84" s="549"/>
      <c r="C84" s="549"/>
      <c r="D84" s="549"/>
      <c r="E84" s="549"/>
      <c r="F84" s="549"/>
      <c r="G84" s="549"/>
      <c r="H84" s="549"/>
      <c r="I84" s="549"/>
      <c r="J84" s="550" t="s">
        <v>577</v>
      </c>
      <c r="K84" s="550"/>
      <c r="L84" s="550">
        <v>1</v>
      </c>
      <c r="M84" s="550"/>
      <c r="N84" s="551">
        <f>$I$185</f>
        <v>94.59</v>
      </c>
      <c r="O84" s="550"/>
      <c r="P84" s="551">
        <f t="shared" si="1"/>
        <v>94.59</v>
      </c>
      <c r="Q84" s="550"/>
      <c r="R84" s="552"/>
      <c r="S84" s="552"/>
      <c r="T84" s="18"/>
      <c r="U84" s="18"/>
      <c r="V84" s="18"/>
      <c r="X84" s="16"/>
      <c r="Y84" s="16"/>
      <c r="AD84" s="16"/>
    </row>
    <row r="85" spans="1:30" ht="15.75" customHeight="1">
      <c r="A85" s="561" t="s">
        <v>583</v>
      </c>
      <c r="B85" s="562"/>
      <c r="C85" s="562"/>
      <c r="D85" s="562"/>
      <c r="E85" s="562"/>
      <c r="F85" s="562"/>
      <c r="G85" s="562"/>
      <c r="H85" s="562"/>
      <c r="I85" s="562"/>
      <c r="J85" s="562"/>
      <c r="K85" s="562"/>
      <c r="L85" s="562"/>
      <c r="M85" s="562"/>
      <c r="N85" s="562"/>
      <c r="O85" s="563"/>
      <c r="P85" s="560">
        <f>SUM(P75:Q84)</f>
        <v>4872.5134861471997</v>
      </c>
      <c r="Q85" s="555"/>
      <c r="R85" s="565"/>
      <c r="S85" s="565"/>
      <c r="T85" s="18"/>
      <c r="U85" s="18"/>
      <c r="V85" s="18"/>
      <c r="X85" s="16"/>
      <c r="Y85" s="16"/>
      <c r="AD85" s="16"/>
    </row>
    <row r="86" spans="1:30" ht="15.75" customHeight="1">
      <c r="A86" s="549" t="s">
        <v>584</v>
      </c>
      <c r="B86" s="549"/>
      <c r="C86" s="549"/>
      <c r="D86" s="549"/>
      <c r="E86" s="549"/>
      <c r="F86" s="549"/>
      <c r="G86" s="549"/>
      <c r="H86" s="549"/>
      <c r="I86" s="549"/>
      <c r="J86" s="550" t="s">
        <v>585</v>
      </c>
      <c r="K86" s="550"/>
      <c r="L86" s="550">
        <f>R35</f>
        <v>3</v>
      </c>
      <c r="M86" s="550"/>
      <c r="N86" s="551">
        <f>P85</f>
        <v>4872.5134861471997</v>
      </c>
      <c r="O86" s="550"/>
      <c r="P86" s="551">
        <f>N86*L86</f>
        <v>14617.540458441599</v>
      </c>
      <c r="Q86" s="550"/>
      <c r="R86" s="552"/>
      <c r="S86" s="552"/>
      <c r="T86" s="18"/>
      <c r="U86" s="18"/>
      <c r="V86" s="18"/>
      <c r="X86" s="16"/>
      <c r="Y86" s="16"/>
      <c r="AD86" s="16"/>
    </row>
    <row r="87" spans="1:30" ht="15.75" customHeight="1">
      <c r="A87" s="788" t="s">
        <v>587</v>
      </c>
      <c r="B87" s="788"/>
      <c r="C87" s="788"/>
      <c r="D87" s="788"/>
      <c r="E87" s="788"/>
      <c r="F87" s="788"/>
      <c r="G87" s="788"/>
      <c r="H87" s="788"/>
      <c r="I87" s="788"/>
      <c r="J87" s="788"/>
      <c r="K87" s="788"/>
      <c r="L87" s="788"/>
      <c r="M87" s="788"/>
      <c r="N87" s="788"/>
      <c r="O87" s="789"/>
      <c r="P87" s="551">
        <v>1</v>
      </c>
      <c r="Q87" s="550"/>
      <c r="R87" s="560">
        <f>P86*P87</f>
        <v>14617.540458441599</v>
      </c>
      <c r="S87" s="555"/>
      <c r="T87" s="18"/>
      <c r="U87" s="18"/>
      <c r="V87" s="18"/>
      <c r="X87" s="16"/>
      <c r="Y87" s="16"/>
      <c r="AD87" s="16"/>
    </row>
    <row r="88" spans="1:30" ht="15.6">
      <c r="A88" s="400" t="str">
        <f>A36</f>
        <v>1.3</v>
      </c>
      <c r="B88" s="390" t="str">
        <f>B36</f>
        <v>Motorista diurno (inclusive reserva)</v>
      </c>
      <c r="C88" s="31"/>
      <c r="D88" s="31"/>
      <c r="E88" s="31"/>
      <c r="F88" s="31"/>
      <c r="G88" s="39"/>
      <c r="H88" s="19"/>
      <c r="I88" s="42"/>
      <c r="J88" s="19"/>
      <c r="K88" s="19"/>
      <c r="L88" s="19"/>
      <c r="M88" s="19"/>
      <c r="N88" s="19"/>
      <c r="O88" s="19"/>
      <c r="P88" s="19"/>
      <c r="Q88" s="19"/>
      <c r="R88" s="20"/>
      <c r="S88" s="19"/>
      <c r="T88" s="18"/>
      <c r="U88" s="18"/>
      <c r="V88" s="18"/>
      <c r="X88" s="16"/>
      <c r="Y88" s="16"/>
      <c r="AD88" s="16"/>
    </row>
    <row r="89" spans="1:30" ht="15.75" customHeight="1">
      <c r="A89" s="554" t="s">
        <v>569</v>
      </c>
      <c r="B89" s="554"/>
      <c r="C89" s="554"/>
      <c r="D89" s="554"/>
      <c r="E89" s="554"/>
      <c r="F89" s="554"/>
      <c r="G89" s="554"/>
      <c r="H89" s="554"/>
      <c r="I89" s="554"/>
      <c r="J89" s="555" t="s">
        <v>24</v>
      </c>
      <c r="K89" s="555"/>
      <c r="L89" s="555" t="s">
        <v>36</v>
      </c>
      <c r="M89" s="555"/>
      <c r="N89" s="555" t="s">
        <v>570</v>
      </c>
      <c r="O89" s="555"/>
      <c r="P89" s="555" t="s">
        <v>571</v>
      </c>
      <c r="Q89" s="555"/>
      <c r="R89" s="555" t="s">
        <v>572</v>
      </c>
      <c r="S89" s="555"/>
      <c r="T89" s="18"/>
      <c r="U89" s="18"/>
      <c r="V89" s="18"/>
      <c r="X89" s="16"/>
      <c r="Y89" s="16"/>
      <c r="AD89" s="16"/>
    </row>
    <row r="90" spans="1:30" ht="15.75" customHeight="1">
      <c r="A90" s="549" t="s">
        <v>568</v>
      </c>
      <c r="B90" s="549"/>
      <c r="C90" s="549"/>
      <c r="D90" s="549"/>
      <c r="E90" s="549"/>
      <c r="F90" s="549"/>
      <c r="G90" s="549"/>
      <c r="H90" s="549"/>
      <c r="I90" s="549"/>
      <c r="J90" s="550" t="s">
        <v>573</v>
      </c>
      <c r="K90" s="550"/>
      <c r="L90" s="550">
        <v>1</v>
      </c>
      <c r="M90" s="550"/>
      <c r="N90" s="551">
        <f>'BANCO DE DADOS'!E16</f>
        <v>1658.91</v>
      </c>
      <c r="O90" s="550"/>
      <c r="P90" s="551">
        <f>N90*L90</f>
        <v>1658.91</v>
      </c>
      <c r="Q90" s="550"/>
      <c r="R90" s="552"/>
      <c r="S90" s="552"/>
      <c r="T90" s="18"/>
      <c r="U90" s="18"/>
      <c r="V90" s="18"/>
      <c r="X90" s="16"/>
      <c r="Y90" s="16"/>
      <c r="AD90" s="16"/>
    </row>
    <row r="91" spans="1:30" ht="15.75" customHeight="1">
      <c r="A91" s="549" t="s">
        <v>68</v>
      </c>
      <c r="B91" s="549"/>
      <c r="C91" s="549"/>
      <c r="D91" s="549"/>
      <c r="E91" s="549"/>
      <c r="F91" s="549"/>
      <c r="G91" s="549"/>
      <c r="H91" s="549"/>
      <c r="I91" s="549"/>
      <c r="J91" s="550" t="s">
        <v>542</v>
      </c>
      <c r="K91" s="550"/>
      <c r="L91" s="576">
        <v>0.4</v>
      </c>
      <c r="M91" s="577"/>
      <c r="N91" s="551">
        <f>$D$165</f>
        <v>1045</v>
      </c>
      <c r="O91" s="550"/>
      <c r="P91" s="551">
        <f>N91*L91</f>
        <v>418</v>
      </c>
      <c r="Q91" s="550"/>
      <c r="R91" s="552"/>
      <c r="S91" s="552"/>
      <c r="T91" s="18"/>
      <c r="U91" s="18"/>
      <c r="V91" s="18"/>
      <c r="X91" s="16"/>
      <c r="Y91" s="16"/>
      <c r="AD91" s="16"/>
    </row>
    <row r="92" spans="1:30" ht="15.75" customHeight="1">
      <c r="A92" s="751" t="s">
        <v>575</v>
      </c>
      <c r="B92" s="752"/>
      <c r="C92" s="752"/>
      <c r="D92" s="752"/>
      <c r="E92" s="752"/>
      <c r="F92" s="752"/>
      <c r="G92" s="752"/>
      <c r="H92" s="752"/>
      <c r="I92" s="753"/>
      <c r="J92" s="550" t="s">
        <v>576</v>
      </c>
      <c r="K92" s="550"/>
      <c r="L92" s="550">
        <f>$D$166</f>
        <v>16</v>
      </c>
      <c r="M92" s="550"/>
      <c r="N92" s="551">
        <f>(N90/220)*1.5</f>
        <v>11.310750000000001</v>
      </c>
      <c r="O92" s="550"/>
      <c r="P92" s="551">
        <f>N92*L92</f>
        <v>180.97200000000001</v>
      </c>
      <c r="Q92" s="550"/>
      <c r="R92" s="552"/>
      <c r="S92" s="552"/>
      <c r="T92" s="18"/>
      <c r="U92" s="18"/>
      <c r="V92" s="18"/>
      <c r="X92" s="16"/>
      <c r="Y92" s="16"/>
      <c r="AD92" s="16"/>
    </row>
    <row r="93" spans="1:30" ht="15.75" customHeight="1">
      <c r="A93" s="751" t="s">
        <v>574</v>
      </c>
      <c r="B93" s="752"/>
      <c r="C93" s="752"/>
      <c r="D93" s="752"/>
      <c r="E93" s="752"/>
      <c r="F93" s="752"/>
      <c r="G93" s="752"/>
      <c r="H93" s="752"/>
      <c r="I93" s="753"/>
      <c r="J93" s="550" t="s">
        <v>576</v>
      </c>
      <c r="K93" s="550"/>
      <c r="L93" s="550">
        <f>$D$167</f>
        <v>10</v>
      </c>
      <c r="M93" s="550"/>
      <c r="N93" s="551">
        <f>N90/220*2</f>
        <v>15.081000000000001</v>
      </c>
      <c r="O93" s="550"/>
      <c r="P93" s="551">
        <f>N93*L93</f>
        <v>150.81</v>
      </c>
      <c r="Q93" s="550"/>
      <c r="R93" s="552"/>
      <c r="S93" s="552"/>
      <c r="T93" s="18"/>
      <c r="U93" s="18"/>
      <c r="V93" s="18"/>
      <c r="X93" s="16"/>
      <c r="Y93" s="16"/>
      <c r="AD93" s="16"/>
    </row>
    <row r="94" spans="1:30" ht="15.75" customHeight="1">
      <c r="A94" s="561" t="s">
        <v>571</v>
      </c>
      <c r="B94" s="562"/>
      <c r="C94" s="562"/>
      <c r="D94" s="562"/>
      <c r="E94" s="562"/>
      <c r="F94" s="562"/>
      <c r="G94" s="562"/>
      <c r="H94" s="562"/>
      <c r="I94" s="562"/>
      <c r="J94" s="562"/>
      <c r="K94" s="562"/>
      <c r="L94" s="562"/>
      <c r="M94" s="562"/>
      <c r="N94" s="562"/>
      <c r="O94" s="563"/>
      <c r="P94" s="560">
        <f>SUM(P90:Q93)</f>
        <v>2408.692</v>
      </c>
      <c r="Q94" s="555"/>
      <c r="R94" s="552"/>
      <c r="S94" s="552"/>
      <c r="T94" s="18"/>
      <c r="U94" s="18"/>
      <c r="V94" s="18"/>
      <c r="X94" s="16"/>
      <c r="Y94" s="16"/>
      <c r="AD94" s="16"/>
    </row>
    <row r="95" spans="1:30" ht="15.75" customHeight="1">
      <c r="A95" s="549" t="s">
        <v>1</v>
      </c>
      <c r="B95" s="549"/>
      <c r="C95" s="549"/>
      <c r="D95" s="549"/>
      <c r="E95" s="549"/>
      <c r="F95" s="549"/>
      <c r="G95" s="549"/>
      <c r="H95" s="549"/>
      <c r="I95" s="549"/>
      <c r="J95" s="550" t="s">
        <v>542</v>
      </c>
      <c r="K95" s="550"/>
      <c r="L95" s="564">
        <f>$D$168</f>
        <v>0.85355440000000016</v>
      </c>
      <c r="M95" s="564"/>
      <c r="N95" s="551">
        <f>P94</f>
        <v>2408.692</v>
      </c>
      <c r="O95" s="550"/>
      <c r="P95" s="551">
        <f>L95*N95</f>
        <v>2055.9496548448005</v>
      </c>
      <c r="Q95" s="550"/>
      <c r="R95" s="552"/>
      <c r="S95" s="552"/>
      <c r="T95" s="18"/>
      <c r="U95" s="18"/>
      <c r="V95" s="18"/>
      <c r="X95" s="16"/>
      <c r="Y95" s="16"/>
      <c r="AD95" s="16"/>
    </row>
    <row r="96" spans="1:30" ht="15.75" customHeight="1">
      <c r="A96" s="549" t="s">
        <v>586</v>
      </c>
      <c r="B96" s="549"/>
      <c r="C96" s="549"/>
      <c r="D96" s="549"/>
      <c r="E96" s="549"/>
      <c r="F96" s="549"/>
      <c r="G96" s="549"/>
      <c r="H96" s="549"/>
      <c r="I96" s="549"/>
      <c r="J96" s="550" t="s">
        <v>577</v>
      </c>
      <c r="K96" s="550"/>
      <c r="L96" s="576">
        <v>0.06</v>
      </c>
      <c r="M96" s="630"/>
      <c r="N96" s="551">
        <f>$F$169</f>
        <v>166.4</v>
      </c>
      <c r="O96" s="550"/>
      <c r="P96" s="551">
        <f>N96-N90*L96</f>
        <v>66.865400000000008</v>
      </c>
      <c r="Q96" s="550"/>
      <c r="R96" s="552"/>
      <c r="S96" s="552"/>
      <c r="T96" s="18"/>
      <c r="U96" s="18"/>
      <c r="V96" s="18"/>
      <c r="X96" s="16"/>
      <c r="Y96" s="16"/>
      <c r="AD96" s="16"/>
    </row>
    <row r="97" spans="1:30" ht="15.75" customHeight="1">
      <c r="A97" s="549" t="s">
        <v>588</v>
      </c>
      <c r="B97" s="549"/>
      <c r="C97" s="549"/>
      <c r="D97" s="549"/>
      <c r="E97" s="549"/>
      <c r="F97" s="549"/>
      <c r="G97" s="549"/>
      <c r="H97" s="549"/>
      <c r="I97" s="549"/>
      <c r="J97" s="550" t="s">
        <v>578</v>
      </c>
      <c r="K97" s="550"/>
      <c r="L97" s="550">
        <v>26</v>
      </c>
      <c r="M97" s="550"/>
      <c r="N97" s="551">
        <f>$D$173*0.9</f>
        <v>13.833</v>
      </c>
      <c r="O97" s="550"/>
      <c r="P97" s="551">
        <f t="shared" ref="P97:P103" si="2">N97*L97</f>
        <v>359.65800000000002</v>
      </c>
      <c r="Q97" s="550"/>
      <c r="R97" s="552"/>
      <c r="S97" s="552"/>
      <c r="T97" s="18"/>
      <c r="U97" s="18"/>
      <c r="V97" s="18"/>
      <c r="X97" s="16"/>
      <c r="Y97" s="16"/>
      <c r="AD97" s="16"/>
    </row>
    <row r="98" spans="1:30" ht="15.75" customHeight="1">
      <c r="A98" s="549" t="s">
        <v>4</v>
      </c>
      <c r="B98" s="549"/>
      <c r="C98" s="549"/>
      <c r="D98" s="549"/>
      <c r="E98" s="549"/>
      <c r="F98" s="549"/>
      <c r="G98" s="549"/>
      <c r="H98" s="549"/>
      <c r="I98" s="549"/>
      <c r="J98" s="550" t="s">
        <v>577</v>
      </c>
      <c r="K98" s="550"/>
      <c r="L98" s="550">
        <v>1</v>
      </c>
      <c r="M98" s="550"/>
      <c r="N98" s="551">
        <f>D171</f>
        <v>171.52</v>
      </c>
      <c r="O98" s="550"/>
      <c r="P98" s="551">
        <f t="shared" si="2"/>
        <v>171.52</v>
      </c>
      <c r="Q98" s="550"/>
      <c r="R98" s="552"/>
      <c r="S98" s="552"/>
      <c r="T98" s="18"/>
      <c r="U98" s="18"/>
      <c r="V98" s="18"/>
      <c r="X98" s="16"/>
      <c r="Y98" s="16"/>
      <c r="AD98" s="16"/>
    </row>
    <row r="99" spans="1:30" ht="15.75" customHeight="1">
      <c r="A99" s="549" t="s">
        <v>579</v>
      </c>
      <c r="B99" s="549"/>
      <c r="C99" s="549"/>
      <c r="D99" s="549"/>
      <c r="E99" s="549"/>
      <c r="F99" s="549"/>
      <c r="G99" s="549"/>
      <c r="H99" s="549"/>
      <c r="I99" s="549"/>
      <c r="J99" s="550" t="s">
        <v>577</v>
      </c>
      <c r="K99" s="550"/>
      <c r="L99" s="550">
        <v>1</v>
      </c>
      <c r="M99" s="550"/>
      <c r="N99" s="551">
        <f>(N98/12)*2</f>
        <v>28.58666666666667</v>
      </c>
      <c r="O99" s="550"/>
      <c r="P99" s="551">
        <f t="shared" si="2"/>
        <v>28.58666666666667</v>
      </c>
      <c r="Q99" s="550"/>
      <c r="R99" s="552"/>
      <c r="S99" s="552"/>
      <c r="T99" s="18"/>
      <c r="U99" s="18"/>
      <c r="V99" s="18"/>
      <c r="X99" s="16"/>
      <c r="Y99" s="16"/>
      <c r="AD99" s="16"/>
    </row>
    <row r="100" spans="1:30" ht="15.75" customHeight="1">
      <c r="A100" s="549" t="s">
        <v>580</v>
      </c>
      <c r="B100" s="549"/>
      <c r="C100" s="549"/>
      <c r="D100" s="549"/>
      <c r="E100" s="549"/>
      <c r="F100" s="549"/>
      <c r="G100" s="549"/>
      <c r="H100" s="549"/>
      <c r="I100" s="549"/>
      <c r="J100" s="550" t="s">
        <v>577</v>
      </c>
      <c r="K100" s="550"/>
      <c r="L100" s="550">
        <v>1</v>
      </c>
      <c r="M100" s="550"/>
      <c r="N100" s="551">
        <f>'BANCO DE DADOS'!$K$15</f>
        <v>37</v>
      </c>
      <c r="O100" s="550"/>
      <c r="P100" s="551">
        <f t="shared" si="2"/>
        <v>37</v>
      </c>
      <c r="Q100" s="550"/>
      <c r="R100" s="552"/>
      <c r="S100" s="552"/>
      <c r="T100" s="18"/>
      <c r="U100" s="18"/>
      <c r="V100" s="18"/>
      <c r="X100" s="16"/>
      <c r="Y100" s="16"/>
      <c r="AD100" s="16"/>
    </row>
    <row r="101" spans="1:30" ht="15.75" customHeight="1">
      <c r="A101" s="549" t="s">
        <v>244</v>
      </c>
      <c r="B101" s="549"/>
      <c r="C101" s="549"/>
      <c r="D101" s="549"/>
      <c r="E101" s="549"/>
      <c r="F101" s="549"/>
      <c r="G101" s="549"/>
      <c r="H101" s="549"/>
      <c r="I101" s="549"/>
      <c r="J101" s="550" t="s">
        <v>577</v>
      </c>
      <c r="K101" s="550"/>
      <c r="L101" s="550">
        <v>1</v>
      </c>
      <c r="M101" s="550"/>
      <c r="N101" s="551">
        <f>'BANCO DE DADOS'!$K$16</f>
        <v>12.91</v>
      </c>
      <c r="O101" s="550"/>
      <c r="P101" s="551">
        <f t="shared" si="2"/>
        <v>12.91</v>
      </c>
      <c r="Q101" s="550"/>
      <c r="R101" s="552"/>
      <c r="S101" s="552"/>
      <c r="T101" s="18"/>
      <c r="U101" s="18"/>
      <c r="V101" s="18"/>
      <c r="X101" s="16"/>
      <c r="Y101" s="16"/>
      <c r="AD101" s="16"/>
    </row>
    <row r="102" spans="1:30" ht="15.75" customHeight="1">
      <c r="A102" s="549" t="s">
        <v>581</v>
      </c>
      <c r="B102" s="549"/>
      <c r="C102" s="549"/>
      <c r="D102" s="549"/>
      <c r="E102" s="549"/>
      <c r="F102" s="549"/>
      <c r="G102" s="549"/>
      <c r="H102" s="549"/>
      <c r="I102" s="549"/>
      <c r="J102" s="550" t="s">
        <v>577</v>
      </c>
      <c r="K102" s="550"/>
      <c r="L102" s="550">
        <v>1</v>
      </c>
      <c r="M102" s="550"/>
      <c r="N102" s="551">
        <f>'BANCO DE DADOS'!$K$17</f>
        <v>32</v>
      </c>
      <c r="O102" s="550"/>
      <c r="P102" s="551">
        <f t="shared" si="2"/>
        <v>32</v>
      </c>
      <c r="Q102" s="550"/>
      <c r="R102" s="552"/>
      <c r="S102" s="552"/>
      <c r="T102" s="18"/>
      <c r="U102" s="18"/>
      <c r="V102" s="18"/>
      <c r="X102" s="16"/>
      <c r="Y102" s="16"/>
      <c r="AD102" s="16"/>
    </row>
    <row r="103" spans="1:30" ht="15.75" customHeight="1">
      <c r="A103" s="549" t="s">
        <v>582</v>
      </c>
      <c r="B103" s="549"/>
      <c r="C103" s="549"/>
      <c r="D103" s="549"/>
      <c r="E103" s="549"/>
      <c r="F103" s="549"/>
      <c r="G103" s="549"/>
      <c r="H103" s="549"/>
      <c r="I103" s="549"/>
      <c r="J103" s="550" t="s">
        <v>577</v>
      </c>
      <c r="K103" s="550"/>
      <c r="L103" s="550">
        <v>1</v>
      </c>
      <c r="M103" s="550"/>
      <c r="N103" s="551">
        <f>L185</f>
        <v>54.02</v>
      </c>
      <c r="O103" s="550"/>
      <c r="P103" s="551">
        <f t="shared" si="2"/>
        <v>54.02</v>
      </c>
      <c r="Q103" s="550"/>
      <c r="R103" s="552"/>
      <c r="S103" s="552"/>
      <c r="T103" s="18"/>
      <c r="U103" s="18"/>
      <c r="V103" s="18"/>
      <c r="X103" s="16"/>
      <c r="Y103" s="16"/>
      <c r="AD103" s="16"/>
    </row>
    <row r="104" spans="1:30" ht="15.75" customHeight="1">
      <c r="A104" s="561" t="s">
        <v>592</v>
      </c>
      <c r="B104" s="562"/>
      <c r="C104" s="562"/>
      <c r="D104" s="562"/>
      <c r="E104" s="562"/>
      <c r="F104" s="562"/>
      <c r="G104" s="562"/>
      <c r="H104" s="562"/>
      <c r="I104" s="562"/>
      <c r="J104" s="562"/>
      <c r="K104" s="562"/>
      <c r="L104" s="562"/>
      <c r="M104" s="562"/>
      <c r="N104" s="562"/>
      <c r="O104" s="563"/>
      <c r="P104" s="560">
        <f>SUM(P94:Q103)</f>
        <v>5227.2017215114683</v>
      </c>
      <c r="Q104" s="555"/>
      <c r="R104" s="565"/>
      <c r="S104" s="565"/>
      <c r="T104" s="18"/>
      <c r="U104" s="18"/>
      <c r="V104" s="18"/>
      <c r="X104" s="16"/>
      <c r="Y104" s="16"/>
      <c r="AD104" s="16"/>
    </row>
    <row r="105" spans="1:30" ht="15.75" customHeight="1">
      <c r="A105" s="549" t="s">
        <v>584</v>
      </c>
      <c r="B105" s="549"/>
      <c r="C105" s="549"/>
      <c r="D105" s="549"/>
      <c r="E105" s="549"/>
      <c r="F105" s="549"/>
      <c r="G105" s="549"/>
      <c r="H105" s="549"/>
      <c r="I105" s="549"/>
      <c r="J105" s="550" t="s">
        <v>585</v>
      </c>
      <c r="K105" s="550"/>
      <c r="L105" s="550">
        <f>R36</f>
        <v>5</v>
      </c>
      <c r="M105" s="550"/>
      <c r="N105" s="551">
        <f>P104</f>
        <v>5227.2017215114683</v>
      </c>
      <c r="O105" s="550"/>
      <c r="P105" s="551">
        <f>N105*L105</f>
        <v>26136.008607557342</v>
      </c>
      <c r="Q105" s="550"/>
      <c r="R105" s="552"/>
      <c r="S105" s="552"/>
      <c r="T105" s="18"/>
      <c r="U105" s="18"/>
      <c r="V105" s="18"/>
      <c r="X105" s="16"/>
      <c r="Y105" s="16"/>
      <c r="AD105" s="16"/>
    </row>
    <row r="106" spans="1:30" ht="15.75" customHeight="1">
      <c r="A106" s="556" t="s">
        <v>587</v>
      </c>
      <c r="B106" s="557"/>
      <c r="C106" s="557"/>
      <c r="D106" s="557"/>
      <c r="E106" s="557"/>
      <c r="F106" s="557"/>
      <c r="G106" s="557"/>
      <c r="H106" s="557"/>
      <c r="I106" s="557"/>
      <c r="J106" s="557"/>
      <c r="K106" s="557"/>
      <c r="L106" s="557"/>
      <c r="M106" s="557"/>
      <c r="N106" s="557"/>
      <c r="O106" s="558"/>
      <c r="P106" s="559">
        <v>1</v>
      </c>
      <c r="Q106" s="559"/>
      <c r="R106" s="560">
        <f>P105*P106</f>
        <v>26136.008607557342</v>
      </c>
      <c r="S106" s="555"/>
      <c r="T106" s="18"/>
      <c r="U106" s="18"/>
      <c r="V106" s="18"/>
      <c r="X106" s="16"/>
      <c r="Y106" s="16"/>
      <c r="AD106" s="16"/>
    </row>
    <row r="107" spans="1:30" ht="15.75" customHeight="1">
      <c r="A107" s="391"/>
      <c r="B107" s="392"/>
      <c r="C107" s="392"/>
      <c r="D107" s="392"/>
      <c r="E107" s="392"/>
      <c r="F107" s="392"/>
      <c r="G107" s="392"/>
      <c r="H107" s="392"/>
      <c r="I107" s="392"/>
      <c r="J107" s="393"/>
      <c r="K107" s="393"/>
      <c r="L107" s="393"/>
      <c r="M107" s="393"/>
      <c r="N107" s="394"/>
      <c r="O107" s="393"/>
      <c r="P107" s="394"/>
      <c r="Q107" s="393"/>
      <c r="R107" s="395"/>
      <c r="S107" s="396"/>
      <c r="T107" s="18"/>
      <c r="U107" s="18"/>
      <c r="V107" s="18"/>
      <c r="X107" s="16"/>
      <c r="Y107" s="16"/>
      <c r="AD107" s="16"/>
    </row>
    <row r="108" spans="1:30" ht="15.6">
      <c r="A108" s="400" t="str">
        <f>A37</f>
        <v>1.4</v>
      </c>
      <c r="B108" s="390" t="str">
        <f>B37</f>
        <v>Motorista noturno</v>
      </c>
      <c r="C108" s="31"/>
      <c r="D108" s="31"/>
      <c r="E108" s="31"/>
      <c r="F108" s="31"/>
      <c r="G108" s="39"/>
      <c r="H108" s="19"/>
      <c r="I108" s="42"/>
      <c r="J108" s="19"/>
      <c r="K108" s="19"/>
      <c r="L108" s="19"/>
      <c r="M108" s="19"/>
      <c r="N108" s="19"/>
      <c r="O108" s="19"/>
      <c r="P108" s="19"/>
      <c r="Q108" s="19"/>
      <c r="R108" s="20"/>
      <c r="S108" s="19"/>
      <c r="T108" s="18"/>
      <c r="U108" s="18"/>
      <c r="V108" s="18"/>
      <c r="X108" s="16"/>
      <c r="Y108" s="16"/>
      <c r="AD108" s="16"/>
    </row>
    <row r="109" spans="1:30" ht="15.75" customHeight="1">
      <c r="A109" s="554" t="s">
        <v>569</v>
      </c>
      <c r="B109" s="554"/>
      <c r="C109" s="554"/>
      <c r="D109" s="554"/>
      <c r="E109" s="554"/>
      <c r="F109" s="554"/>
      <c r="G109" s="554"/>
      <c r="H109" s="554"/>
      <c r="I109" s="554"/>
      <c r="J109" s="555" t="s">
        <v>24</v>
      </c>
      <c r="K109" s="555"/>
      <c r="L109" s="555" t="s">
        <v>36</v>
      </c>
      <c r="M109" s="555"/>
      <c r="N109" s="555" t="s">
        <v>570</v>
      </c>
      <c r="O109" s="555"/>
      <c r="P109" s="555" t="s">
        <v>571</v>
      </c>
      <c r="Q109" s="555"/>
      <c r="R109" s="555" t="s">
        <v>572</v>
      </c>
      <c r="S109" s="555"/>
      <c r="T109" s="18"/>
      <c r="U109" s="18"/>
      <c r="V109" s="18"/>
      <c r="X109" s="16"/>
      <c r="Y109" s="16"/>
      <c r="AD109" s="16"/>
    </row>
    <row r="110" spans="1:30" ht="15.75" customHeight="1">
      <c r="A110" s="549" t="s">
        <v>568</v>
      </c>
      <c r="B110" s="549"/>
      <c r="C110" s="549"/>
      <c r="D110" s="549"/>
      <c r="E110" s="549"/>
      <c r="F110" s="549"/>
      <c r="G110" s="549"/>
      <c r="H110" s="549"/>
      <c r="I110" s="549"/>
      <c r="J110" s="550" t="s">
        <v>573</v>
      </c>
      <c r="K110" s="550"/>
      <c r="L110" s="550">
        <v>1</v>
      </c>
      <c r="M110" s="550"/>
      <c r="N110" s="551">
        <f>N90</f>
        <v>1658.91</v>
      </c>
      <c r="O110" s="550"/>
      <c r="P110" s="551">
        <f>N110*L110</f>
        <v>1658.91</v>
      </c>
      <c r="Q110" s="550"/>
      <c r="R110" s="552"/>
      <c r="S110" s="552"/>
      <c r="T110" s="18"/>
      <c r="U110" s="18"/>
      <c r="V110" s="18"/>
      <c r="X110" s="16"/>
      <c r="Y110" s="16"/>
      <c r="AD110" s="16"/>
    </row>
    <row r="111" spans="1:30" ht="15.75" customHeight="1">
      <c r="A111" s="549" t="s">
        <v>68</v>
      </c>
      <c r="B111" s="549"/>
      <c r="C111" s="549"/>
      <c r="D111" s="549"/>
      <c r="E111" s="549"/>
      <c r="F111" s="549"/>
      <c r="G111" s="549"/>
      <c r="H111" s="549"/>
      <c r="I111" s="549"/>
      <c r="J111" s="550" t="s">
        <v>542</v>
      </c>
      <c r="K111" s="550"/>
      <c r="L111" s="576">
        <v>0.4</v>
      </c>
      <c r="M111" s="577"/>
      <c r="N111" s="551">
        <f>$D$165</f>
        <v>1045</v>
      </c>
      <c r="O111" s="550"/>
      <c r="P111" s="551">
        <f>N111*L111</f>
        <v>418</v>
      </c>
      <c r="Q111" s="550"/>
      <c r="R111" s="552"/>
      <c r="S111" s="552"/>
      <c r="T111" s="18"/>
      <c r="U111" s="18"/>
      <c r="V111" s="18"/>
      <c r="X111" s="16"/>
      <c r="Y111" s="16"/>
      <c r="AD111" s="16"/>
    </row>
    <row r="112" spans="1:30" ht="15.75" customHeight="1">
      <c r="A112" s="549" t="s">
        <v>590</v>
      </c>
      <c r="B112" s="549"/>
      <c r="C112" s="549"/>
      <c r="D112" s="549"/>
      <c r="E112" s="549"/>
      <c r="F112" s="549"/>
      <c r="G112" s="549"/>
      <c r="H112" s="549"/>
      <c r="I112" s="549"/>
      <c r="J112" s="550" t="s">
        <v>542</v>
      </c>
      <c r="K112" s="550"/>
      <c r="L112" s="576">
        <v>0.2</v>
      </c>
      <c r="M112" s="577"/>
      <c r="N112" s="551">
        <f>N110</f>
        <v>1658.91</v>
      </c>
      <c r="O112" s="550"/>
      <c r="P112" s="551">
        <f>L112*N112</f>
        <v>331.78200000000004</v>
      </c>
      <c r="Q112" s="550"/>
      <c r="R112" s="552"/>
      <c r="S112" s="552"/>
      <c r="T112" s="18"/>
      <c r="U112" s="18"/>
      <c r="V112" s="18"/>
      <c r="X112" s="16"/>
      <c r="Y112" s="16"/>
      <c r="AD112" s="16"/>
    </row>
    <row r="113" spans="1:30" ht="15.75" customHeight="1">
      <c r="A113" s="751" t="s">
        <v>575</v>
      </c>
      <c r="B113" s="752"/>
      <c r="C113" s="752"/>
      <c r="D113" s="752"/>
      <c r="E113" s="752"/>
      <c r="F113" s="752"/>
      <c r="G113" s="752"/>
      <c r="H113" s="752"/>
      <c r="I113" s="753"/>
      <c r="J113" s="550" t="s">
        <v>576</v>
      </c>
      <c r="K113" s="550"/>
      <c r="L113" s="550">
        <f>$D$166</f>
        <v>16</v>
      </c>
      <c r="M113" s="550"/>
      <c r="N113" s="551">
        <f>(N110/220)*1.5</f>
        <v>11.310750000000001</v>
      </c>
      <c r="O113" s="550"/>
      <c r="P113" s="551">
        <f>N113*L113</f>
        <v>180.97200000000001</v>
      </c>
      <c r="Q113" s="550"/>
      <c r="R113" s="552"/>
      <c r="S113" s="552"/>
      <c r="T113" s="18"/>
      <c r="U113" s="18"/>
      <c r="V113" s="18"/>
      <c r="X113" s="16"/>
      <c r="Y113" s="16"/>
      <c r="AD113" s="16"/>
    </row>
    <row r="114" spans="1:30" ht="15.75" customHeight="1">
      <c r="A114" s="751" t="s">
        <v>574</v>
      </c>
      <c r="B114" s="752"/>
      <c r="C114" s="752"/>
      <c r="D114" s="752"/>
      <c r="E114" s="752"/>
      <c r="F114" s="752"/>
      <c r="G114" s="752"/>
      <c r="H114" s="752"/>
      <c r="I114" s="753"/>
      <c r="J114" s="550" t="s">
        <v>576</v>
      </c>
      <c r="K114" s="550"/>
      <c r="L114" s="550">
        <f>$D$167</f>
        <v>10</v>
      </c>
      <c r="M114" s="550"/>
      <c r="N114" s="551">
        <f>N110/220*2</f>
        <v>15.081000000000001</v>
      </c>
      <c r="O114" s="550"/>
      <c r="P114" s="551">
        <f>N114*L114</f>
        <v>150.81</v>
      </c>
      <c r="Q114" s="550"/>
      <c r="R114" s="552"/>
      <c r="S114" s="552"/>
      <c r="T114" s="18"/>
      <c r="U114" s="18"/>
      <c r="V114" s="18"/>
      <c r="X114" s="16"/>
      <c r="Y114" s="16"/>
      <c r="AD114" s="16"/>
    </row>
    <row r="115" spans="1:30" ht="15.75" customHeight="1">
      <c r="A115" s="561" t="s">
        <v>571</v>
      </c>
      <c r="B115" s="562"/>
      <c r="C115" s="562"/>
      <c r="D115" s="562"/>
      <c r="E115" s="562"/>
      <c r="F115" s="562"/>
      <c r="G115" s="562"/>
      <c r="H115" s="562"/>
      <c r="I115" s="562"/>
      <c r="J115" s="562"/>
      <c r="K115" s="562"/>
      <c r="L115" s="562"/>
      <c r="M115" s="562"/>
      <c r="N115" s="562"/>
      <c r="O115" s="563"/>
      <c r="P115" s="560">
        <f>SUM(P110:Q114)</f>
        <v>2740.4740000000002</v>
      </c>
      <c r="Q115" s="555"/>
      <c r="R115" s="552"/>
      <c r="S115" s="552"/>
      <c r="T115" s="18"/>
      <c r="U115" s="18"/>
      <c r="V115" s="18"/>
      <c r="X115" s="16"/>
      <c r="Y115" s="16"/>
      <c r="AD115" s="16"/>
    </row>
    <row r="116" spans="1:30" ht="15.75" customHeight="1">
      <c r="A116" s="549" t="s">
        <v>1</v>
      </c>
      <c r="B116" s="549"/>
      <c r="C116" s="549"/>
      <c r="D116" s="549"/>
      <c r="E116" s="549"/>
      <c r="F116" s="549"/>
      <c r="G116" s="549"/>
      <c r="H116" s="549"/>
      <c r="I116" s="549"/>
      <c r="J116" s="550" t="s">
        <v>542</v>
      </c>
      <c r="K116" s="550"/>
      <c r="L116" s="564">
        <f>$D$168</f>
        <v>0.85355440000000016</v>
      </c>
      <c r="M116" s="564"/>
      <c r="N116" s="551">
        <f>P115</f>
        <v>2740.4740000000002</v>
      </c>
      <c r="O116" s="550"/>
      <c r="P116" s="551">
        <f>L116*N116</f>
        <v>2339.1436407856004</v>
      </c>
      <c r="Q116" s="550"/>
      <c r="R116" s="552"/>
      <c r="S116" s="552"/>
      <c r="T116" s="18"/>
      <c r="U116" s="18"/>
      <c r="V116" s="18"/>
      <c r="X116" s="16"/>
      <c r="Y116" s="16"/>
      <c r="AD116" s="16"/>
    </row>
    <row r="117" spans="1:30" ht="15.75" customHeight="1">
      <c r="A117" s="549" t="s">
        <v>586</v>
      </c>
      <c r="B117" s="549"/>
      <c r="C117" s="549"/>
      <c r="D117" s="549"/>
      <c r="E117" s="549"/>
      <c r="F117" s="549"/>
      <c r="G117" s="549"/>
      <c r="H117" s="549"/>
      <c r="I117" s="549"/>
      <c r="J117" s="550" t="s">
        <v>577</v>
      </c>
      <c r="K117" s="550"/>
      <c r="L117" s="576">
        <v>0.06</v>
      </c>
      <c r="M117" s="630"/>
      <c r="N117" s="551">
        <f>$F$169</f>
        <v>166.4</v>
      </c>
      <c r="O117" s="550"/>
      <c r="P117" s="551">
        <f>N117-N110*L117</f>
        <v>66.865400000000008</v>
      </c>
      <c r="Q117" s="550"/>
      <c r="R117" s="552"/>
      <c r="S117" s="552"/>
      <c r="T117" s="18"/>
      <c r="U117" s="18"/>
      <c r="V117" s="18"/>
      <c r="X117" s="16"/>
      <c r="Y117" s="16"/>
      <c r="AD117" s="16"/>
    </row>
    <row r="118" spans="1:30" ht="15.75" customHeight="1">
      <c r="A118" s="549" t="s">
        <v>588</v>
      </c>
      <c r="B118" s="549"/>
      <c r="C118" s="549"/>
      <c r="D118" s="549"/>
      <c r="E118" s="549"/>
      <c r="F118" s="549"/>
      <c r="G118" s="549"/>
      <c r="H118" s="549"/>
      <c r="I118" s="549"/>
      <c r="J118" s="550" t="s">
        <v>578</v>
      </c>
      <c r="K118" s="550"/>
      <c r="L118" s="550">
        <v>26</v>
      </c>
      <c r="M118" s="550"/>
      <c r="N118" s="551">
        <f>$D$173*0.9</f>
        <v>13.833</v>
      </c>
      <c r="O118" s="550"/>
      <c r="P118" s="551">
        <f t="shared" ref="P118:P124" si="3">N118*L118</f>
        <v>359.65800000000002</v>
      </c>
      <c r="Q118" s="550"/>
      <c r="R118" s="552"/>
      <c r="S118" s="552"/>
      <c r="T118" s="18"/>
      <c r="U118" s="18"/>
      <c r="V118" s="18"/>
      <c r="X118" s="16"/>
      <c r="Y118" s="16"/>
      <c r="AD118" s="16"/>
    </row>
    <row r="119" spans="1:30" ht="15.75" customHeight="1">
      <c r="A119" s="549" t="s">
        <v>4</v>
      </c>
      <c r="B119" s="549"/>
      <c r="C119" s="549"/>
      <c r="D119" s="549"/>
      <c r="E119" s="549"/>
      <c r="F119" s="549"/>
      <c r="G119" s="549"/>
      <c r="H119" s="549"/>
      <c r="I119" s="549"/>
      <c r="J119" s="550" t="s">
        <v>577</v>
      </c>
      <c r="K119" s="550"/>
      <c r="L119" s="550">
        <v>1</v>
      </c>
      <c r="M119" s="550"/>
      <c r="N119" s="551">
        <f>N98</f>
        <v>171.52</v>
      </c>
      <c r="O119" s="550"/>
      <c r="P119" s="551">
        <f t="shared" si="3"/>
        <v>171.52</v>
      </c>
      <c r="Q119" s="550"/>
      <c r="R119" s="552"/>
      <c r="S119" s="552"/>
      <c r="T119" s="18"/>
      <c r="U119" s="18"/>
      <c r="V119" s="18"/>
      <c r="X119" s="16"/>
      <c r="Y119" s="16"/>
      <c r="AD119" s="16"/>
    </row>
    <row r="120" spans="1:30" ht="15.75" customHeight="1">
      <c r="A120" s="549" t="s">
        <v>579</v>
      </c>
      <c r="B120" s="549"/>
      <c r="C120" s="549"/>
      <c r="D120" s="549"/>
      <c r="E120" s="549"/>
      <c r="F120" s="549"/>
      <c r="G120" s="549"/>
      <c r="H120" s="549"/>
      <c r="I120" s="549"/>
      <c r="J120" s="550" t="s">
        <v>577</v>
      </c>
      <c r="K120" s="550"/>
      <c r="L120" s="550">
        <v>1</v>
      </c>
      <c r="M120" s="550"/>
      <c r="N120" s="551">
        <f>(N119/12)*2</f>
        <v>28.58666666666667</v>
      </c>
      <c r="O120" s="550"/>
      <c r="P120" s="551">
        <f t="shared" si="3"/>
        <v>28.58666666666667</v>
      </c>
      <c r="Q120" s="550"/>
      <c r="R120" s="552"/>
      <c r="S120" s="552"/>
      <c r="T120" s="18"/>
      <c r="U120" s="18"/>
      <c r="V120" s="18"/>
      <c r="X120" s="16"/>
      <c r="Y120" s="16"/>
      <c r="AD120" s="16"/>
    </row>
    <row r="121" spans="1:30" ht="15.75" customHeight="1">
      <c r="A121" s="549" t="s">
        <v>580</v>
      </c>
      <c r="B121" s="549"/>
      <c r="C121" s="549"/>
      <c r="D121" s="549"/>
      <c r="E121" s="549"/>
      <c r="F121" s="549"/>
      <c r="G121" s="549"/>
      <c r="H121" s="549"/>
      <c r="I121" s="549"/>
      <c r="J121" s="550" t="s">
        <v>577</v>
      </c>
      <c r="K121" s="550"/>
      <c r="L121" s="550">
        <v>1</v>
      </c>
      <c r="M121" s="550"/>
      <c r="N121" s="551">
        <f>'BANCO DE DADOS'!$K$15</f>
        <v>37</v>
      </c>
      <c r="O121" s="550"/>
      <c r="P121" s="551">
        <f t="shared" si="3"/>
        <v>37</v>
      </c>
      <c r="Q121" s="550"/>
      <c r="R121" s="552"/>
      <c r="S121" s="552"/>
      <c r="T121" s="18"/>
      <c r="U121" s="18"/>
      <c r="V121" s="18"/>
      <c r="X121" s="16"/>
      <c r="Y121" s="16"/>
      <c r="AD121" s="16"/>
    </row>
    <row r="122" spans="1:30" ht="15.75" customHeight="1">
      <c r="A122" s="549" t="s">
        <v>244</v>
      </c>
      <c r="B122" s="549"/>
      <c r="C122" s="549"/>
      <c r="D122" s="549"/>
      <c r="E122" s="549"/>
      <c r="F122" s="549"/>
      <c r="G122" s="549"/>
      <c r="H122" s="549"/>
      <c r="I122" s="549"/>
      <c r="J122" s="550" t="s">
        <v>577</v>
      </c>
      <c r="K122" s="550"/>
      <c r="L122" s="550">
        <v>1</v>
      </c>
      <c r="M122" s="550"/>
      <c r="N122" s="551">
        <f>'BANCO DE DADOS'!$K$16</f>
        <v>12.91</v>
      </c>
      <c r="O122" s="550"/>
      <c r="P122" s="551">
        <f t="shared" si="3"/>
        <v>12.91</v>
      </c>
      <c r="Q122" s="550"/>
      <c r="R122" s="552"/>
      <c r="S122" s="552"/>
      <c r="T122" s="18"/>
      <c r="U122" s="18"/>
      <c r="V122" s="18"/>
      <c r="X122" s="16"/>
      <c r="Y122" s="16"/>
      <c r="AD122" s="16"/>
    </row>
    <row r="123" spans="1:30" ht="15.75" customHeight="1">
      <c r="A123" s="549" t="s">
        <v>581</v>
      </c>
      <c r="B123" s="549"/>
      <c r="C123" s="549"/>
      <c r="D123" s="549"/>
      <c r="E123" s="549"/>
      <c r="F123" s="549"/>
      <c r="G123" s="549"/>
      <c r="H123" s="549"/>
      <c r="I123" s="549"/>
      <c r="J123" s="550" t="s">
        <v>577</v>
      </c>
      <c r="K123" s="550"/>
      <c r="L123" s="550">
        <v>1</v>
      </c>
      <c r="M123" s="550"/>
      <c r="N123" s="551">
        <f>'BANCO DE DADOS'!$K$17</f>
        <v>32</v>
      </c>
      <c r="O123" s="550"/>
      <c r="P123" s="551">
        <f t="shared" si="3"/>
        <v>32</v>
      </c>
      <c r="Q123" s="550"/>
      <c r="R123" s="552"/>
      <c r="S123" s="552"/>
      <c r="T123" s="18"/>
      <c r="U123" s="18"/>
      <c r="V123" s="18"/>
      <c r="X123" s="16"/>
      <c r="Y123" s="16"/>
      <c r="AD123" s="16"/>
    </row>
    <row r="124" spans="1:30" ht="15.75" customHeight="1">
      <c r="A124" s="549" t="s">
        <v>582</v>
      </c>
      <c r="B124" s="549"/>
      <c r="C124" s="549"/>
      <c r="D124" s="549"/>
      <c r="E124" s="549"/>
      <c r="F124" s="549"/>
      <c r="G124" s="549"/>
      <c r="H124" s="549"/>
      <c r="I124" s="549"/>
      <c r="J124" s="550" t="s">
        <v>577</v>
      </c>
      <c r="K124" s="550"/>
      <c r="L124" s="550">
        <v>1</v>
      </c>
      <c r="M124" s="550"/>
      <c r="N124" s="551">
        <f>$L$185</f>
        <v>54.02</v>
      </c>
      <c r="O124" s="550"/>
      <c r="P124" s="551">
        <f t="shared" si="3"/>
        <v>54.02</v>
      </c>
      <c r="Q124" s="550"/>
      <c r="R124" s="552"/>
      <c r="S124" s="552"/>
      <c r="T124" s="18"/>
      <c r="U124" s="18"/>
      <c r="V124" s="18"/>
      <c r="X124" s="16"/>
      <c r="Y124" s="16"/>
      <c r="AD124" s="16"/>
    </row>
    <row r="125" spans="1:30" ht="15.75" customHeight="1">
      <c r="A125" s="561" t="s">
        <v>592</v>
      </c>
      <c r="B125" s="562"/>
      <c r="C125" s="562"/>
      <c r="D125" s="562"/>
      <c r="E125" s="562"/>
      <c r="F125" s="562"/>
      <c r="G125" s="562"/>
      <c r="H125" s="562"/>
      <c r="I125" s="562"/>
      <c r="J125" s="562"/>
      <c r="K125" s="562"/>
      <c r="L125" s="562"/>
      <c r="M125" s="562"/>
      <c r="N125" s="562"/>
      <c r="O125" s="563"/>
      <c r="P125" s="560">
        <f>SUM(P115:Q124)</f>
        <v>5842.1777074522679</v>
      </c>
      <c r="Q125" s="555"/>
      <c r="R125" s="565"/>
      <c r="S125" s="565"/>
      <c r="T125" s="18"/>
      <c r="U125" s="18"/>
      <c r="V125" s="18"/>
      <c r="X125" s="16"/>
      <c r="Y125" s="16"/>
      <c r="AD125" s="16"/>
    </row>
    <row r="126" spans="1:30" ht="15.75" customHeight="1">
      <c r="A126" s="549" t="s">
        <v>584</v>
      </c>
      <c r="B126" s="549"/>
      <c r="C126" s="549"/>
      <c r="D126" s="549"/>
      <c r="E126" s="549"/>
      <c r="F126" s="549"/>
      <c r="G126" s="549"/>
      <c r="H126" s="549"/>
      <c r="I126" s="549"/>
      <c r="J126" s="550" t="s">
        <v>585</v>
      </c>
      <c r="K126" s="550"/>
      <c r="L126" s="550">
        <f>R37</f>
        <v>1</v>
      </c>
      <c r="M126" s="550"/>
      <c r="N126" s="551">
        <f>P125</f>
        <v>5842.1777074522679</v>
      </c>
      <c r="O126" s="550"/>
      <c r="P126" s="551">
        <f>N126*L126</f>
        <v>5842.1777074522679</v>
      </c>
      <c r="Q126" s="550"/>
      <c r="R126" s="552"/>
      <c r="S126" s="552"/>
      <c r="T126" s="18"/>
      <c r="U126" s="18"/>
      <c r="V126" s="18"/>
      <c r="X126" s="16"/>
      <c r="Y126" s="16"/>
      <c r="AD126" s="16"/>
    </row>
    <row r="127" spans="1:30" ht="15.75" customHeight="1">
      <c r="A127" s="556" t="s">
        <v>587</v>
      </c>
      <c r="B127" s="557"/>
      <c r="C127" s="557"/>
      <c r="D127" s="557"/>
      <c r="E127" s="557"/>
      <c r="F127" s="557"/>
      <c r="G127" s="557"/>
      <c r="H127" s="557"/>
      <c r="I127" s="557"/>
      <c r="J127" s="557"/>
      <c r="K127" s="557"/>
      <c r="L127" s="557"/>
      <c r="M127" s="557"/>
      <c r="N127" s="557"/>
      <c r="O127" s="558"/>
      <c r="P127" s="551">
        <v>1</v>
      </c>
      <c r="Q127" s="550"/>
      <c r="R127" s="560">
        <f>P126*P127</f>
        <v>5842.1777074522679</v>
      </c>
      <c r="S127" s="555"/>
      <c r="T127" s="18"/>
      <c r="U127" s="18"/>
      <c r="V127" s="18"/>
      <c r="X127" s="16"/>
      <c r="Y127" s="16"/>
      <c r="AD127" s="16"/>
    </row>
    <row r="128" spans="1:30" ht="15.6">
      <c r="A128" s="400" t="str">
        <f>A38</f>
        <v>1.5</v>
      </c>
      <c r="B128" s="390" t="str">
        <f>B38</f>
        <v>Fiscal noturno</v>
      </c>
      <c r="C128" s="31"/>
      <c r="D128" s="31"/>
      <c r="E128" s="31"/>
      <c r="F128" s="31"/>
      <c r="G128" s="39"/>
      <c r="H128" s="19"/>
      <c r="I128" s="42"/>
      <c r="J128" s="19"/>
      <c r="K128" s="19"/>
      <c r="L128" s="19"/>
      <c r="M128" s="19"/>
      <c r="N128" s="19"/>
      <c r="O128" s="19"/>
      <c r="P128" s="19"/>
      <c r="Q128" s="19"/>
      <c r="R128" s="20"/>
      <c r="S128" s="19"/>
      <c r="T128" s="18"/>
      <c r="U128" s="18"/>
      <c r="V128" s="18"/>
      <c r="X128" s="16"/>
      <c r="Y128" s="16"/>
      <c r="AD128" s="16"/>
    </row>
    <row r="129" spans="1:30" ht="15.75" customHeight="1">
      <c r="A129" s="554" t="s">
        <v>569</v>
      </c>
      <c r="B129" s="554"/>
      <c r="C129" s="554"/>
      <c r="D129" s="554"/>
      <c r="E129" s="554"/>
      <c r="F129" s="554"/>
      <c r="G129" s="554"/>
      <c r="H129" s="554"/>
      <c r="I129" s="554"/>
      <c r="J129" s="555" t="s">
        <v>24</v>
      </c>
      <c r="K129" s="555"/>
      <c r="L129" s="555" t="s">
        <v>36</v>
      </c>
      <c r="M129" s="555"/>
      <c r="N129" s="555" t="s">
        <v>570</v>
      </c>
      <c r="O129" s="555"/>
      <c r="P129" s="555" t="s">
        <v>571</v>
      </c>
      <c r="Q129" s="555"/>
      <c r="R129" s="555" t="s">
        <v>572</v>
      </c>
      <c r="S129" s="555"/>
      <c r="T129" s="18"/>
      <c r="U129" s="18"/>
      <c r="V129" s="18"/>
      <c r="X129" s="16"/>
      <c r="Y129" s="16"/>
      <c r="AD129" s="16"/>
    </row>
    <row r="130" spans="1:30" ht="15.75" customHeight="1">
      <c r="A130" s="549" t="s">
        <v>568</v>
      </c>
      <c r="B130" s="549"/>
      <c r="C130" s="549"/>
      <c r="D130" s="549"/>
      <c r="E130" s="549"/>
      <c r="F130" s="549"/>
      <c r="G130" s="549"/>
      <c r="H130" s="549"/>
      <c r="I130" s="549"/>
      <c r="J130" s="550" t="s">
        <v>573</v>
      </c>
      <c r="K130" s="550"/>
      <c r="L130" s="550">
        <v>1</v>
      </c>
      <c r="M130" s="550"/>
      <c r="N130" s="551">
        <v>1800</v>
      </c>
      <c r="O130" s="550"/>
      <c r="P130" s="551">
        <f>N130*L130</f>
        <v>1800</v>
      </c>
      <c r="Q130" s="550"/>
      <c r="R130" s="552"/>
      <c r="S130" s="552"/>
      <c r="T130" s="18"/>
      <c r="U130" s="18"/>
      <c r="V130" s="18"/>
      <c r="X130" s="16"/>
      <c r="Y130" s="16"/>
      <c r="AD130" s="16"/>
    </row>
    <row r="131" spans="1:30" ht="15.75" customHeight="1">
      <c r="A131" s="549" t="s">
        <v>590</v>
      </c>
      <c r="B131" s="549"/>
      <c r="C131" s="549"/>
      <c r="D131" s="549"/>
      <c r="E131" s="549"/>
      <c r="F131" s="549"/>
      <c r="G131" s="549"/>
      <c r="H131" s="549"/>
      <c r="I131" s="549"/>
      <c r="J131" s="550" t="s">
        <v>542</v>
      </c>
      <c r="K131" s="550"/>
      <c r="L131" s="576">
        <v>0.2</v>
      </c>
      <c r="M131" s="577"/>
      <c r="N131" s="551">
        <f>N130</f>
        <v>1800</v>
      </c>
      <c r="O131" s="550"/>
      <c r="P131" s="551">
        <f>L131*N131</f>
        <v>360</v>
      </c>
      <c r="Q131" s="550"/>
      <c r="R131" s="552"/>
      <c r="S131" s="552"/>
      <c r="T131" s="18"/>
      <c r="U131" s="18"/>
      <c r="V131" s="18"/>
      <c r="X131" s="16"/>
      <c r="Y131" s="16"/>
      <c r="AD131" s="16"/>
    </row>
    <row r="132" spans="1:30" ht="15.75" customHeight="1">
      <c r="A132" s="751" t="s">
        <v>575</v>
      </c>
      <c r="B132" s="752"/>
      <c r="C132" s="752"/>
      <c r="D132" s="752"/>
      <c r="E132" s="752"/>
      <c r="F132" s="752"/>
      <c r="G132" s="752"/>
      <c r="H132" s="752"/>
      <c r="I132" s="753"/>
      <c r="J132" s="550" t="s">
        <v>576</v>
      </c>
      <c r="K132" s="550"/>
      <c r="L132" s="550">
        <f>$D$166</f>
        <v>16</v>
      </c>
      <c r="M132" s="550"/>
      <c r="N132" s="551">
        <f>(N130/220)*1.5</f>
        <v>12.272727272727273</v>
      </c>
      <c r="O132" s="550"/>
      <c r="P132" s="551">
        <f>N132*L132</f>
        <v>196.36363636363637</v>
      </c>
      <c r="Q132" s="550"/>
      <c r="R132" s="552"/>
      <c r="S132" s="552"/>
      <c r="T132" s="18"/>
      <c r="U132" s="18"/>
      <c r="V132" s="18"/>
      <c r="X132" s="16"/>
      <c r="Y132" s="16"/>
      <c r="AD132" s="16"/>
    </row>
    <row r="133" spans="1:30" ht="15.75" customHeight="1">
      <c r="A133" s="751" t="s">
        <v>574</v>
      </c>
      <c r="B133" s="752"/>
      <c r="C133" s="752"/>
      <c r="D133" s="752"/>
      <c r="E133" s="752"/>
      <c r="F133" s="752"/>
      <c r="G133" s="752"/>
      <c r="H133" s="752"/>
      <c r="I133" s="753"/>
      <c r="J133" s="550" t="s">
        <v>576</v>
      </c>
      <c r="K133" s="550"/>
      <c r="L133" s="550">
        <f>$D$167</f>
        <v>10</v>
      </c>
      <c r="M133" s="550"/>
      <c r="N133" s="551">
        <f>N130/220*2</f>
        <v>16.363636363636363</v>
      </c>
      <c r="O133" s="550"/>
      <c r="P133" s="551">
        <f>N133*L133</f>
        <v>163.63636363636363</v>
      </c>
      <c r="Q133" s="550"/>
      <c r="R133" s="552"/>
      <c r="S133" s="552"/>
      <c r="T133" s="18"/>
      <c r="U133" s="18"/>
      <c r="V133" s="18"/>
      <c r="X133" s="16"/>
      <c r="Y133" s="16"/>
      <c r="AD133" s="16"/>
    </row>
    <row r="134" spans="1:30" ht="15.75" customHeight="1">
      <c r="A134" s="561" t="s">
        <v>571</v>
      </c>
      <c r="B134" s="562"/>
      <c r="C134" s="562"/>
      <c r="D134" s="562"/>
      <c r="E134" s="562"/>
      <c r="F134" s="562"/>
      <c r="G134" s="562"/>
      <c r="H134" s="562"/>
      <c r="I134" s="562"/>
      <c r="J134" s="562"/>
      <c r="K134" s="562"/>
      <c r="L134" s="562"/>
      <c r="M134" s="562"/>
      <c r="N134" s="562"/>
      <c r="O134" s="563"/>
      <c r="P134" s="560">
        <f>SUM(P130:Q133)</f>
        <v>2520</v>
      </c>
      <c r="Q134" s="555"/>
      <c r="R134" s="552"/>
      <c r="S134" s="552"/>
      <c r="T134" s="18"/>
      <c r="U134" s="18"/>
      <c r="V134" s="18"/>
      <c r="X134" s="16"/>
      <c r="Y134" s="16"/>
      <c r="AD134" s="16"/>
    </row>
    <row r="135" spans="1:30" ht="15.75" customHeight="1">
      <c r="A135" s="549" t="s">
        <v>1</v>
      </c>
      <c r="B135" s="549"/>
      <c r="C135" s="549"/>
      <c r="D135" s="549"/>
      <c r="E135" s="549"/>
      <c r="F135" s="549"/>
      <c r="G135" s="549"/>
      <c r="H135" s="549"/>
      <c r="I135" s="549"/>
      <c r="J135" s="550" t="s">
        <v>542</v>
      </c>
      <c r="K135" s="550"/>
      <c r="L135" s="564">
        <f>$D$168</f>
        <v>0.85355440000000016</v>
      </c>
      <c r="M135" s="564"/>
      <c r="N135" s="551">
        <f>P134</f>
        <v>2520</v>
      </c>
      <c r="O135" s="550"/>
      <c r="P135" s="551">
        <f>L135*N135</f>
        <v>2150.9570880000006</v>
      </c>
      <c r="Q135" s="550"/>
      <c r="R135" s="552"/>
      <c r="S135" s="552"/>
      <c r="T135" s="18"/>
      <c r="U135" s="18"/>
      <c r="V135" s="18"/>
      <c r="X135" s="16"/>
      <c r="Y135" s="16"/>
      <c r="AD135" s="16"/>
    </row>
    <row r="136" spans="1:30" ht="15.75" customHeight="1">
      <c r="A136" s="549" t="s">
        <v>588</v>
      </c>
      <c r="B136" s="549"/>
      <c r="C136" s="549"/>
      <c r="D136" s="549"/>
      <c r="E136" s="549"/>
      <c r="F136" s="549"/>
      <c r="G136" s="549"/>
      <c r="H136" s="549"/>
      <c r="I136" s="549"/>
      <c r="J136" s="550" t="s">
        <v>578</v>
      </c>
      <c r="K136" s="550"/>
      <c r="L136" s="550">
        <v>26</v>
      </c>
      <c r="M136" s="550"/>
      <c r="N136" s="551">
        <f>$D$173*0.9</f>
        <v>13.833</v>
      </c>
      <c r="O136" s="550"/>
      <c r="P136" s="551">
        <f t="shared" ref="P136:P142" si="4">N136*L136</f>
        <v>359.65800000000002</v>
      </c>
      <c r="Q136" s="550"/>
      <c r="R136" s="552"/>
      <c r="S136" s="552"/>
      <c r="T136" s="18"/>
      <c r="U136" s="18"/>
      <c r="V136" s="18"/>
      <c r="X136" s="16"/>
      <c r="Y136" s="16"/>
      <c r="AD136" s="16"/>
    </row>
    <row r="137" spans="1:30" ht="15.75" customHeight="1">
      <c r="A137" s="549" t="s">
        <v>4</v>
      </c>
      <c r="B137" s="549"/>
      <c r="C137" s="549"/>
      <c r="D137" s="549"/>
      <c r="E137" s="549"/>
      <c r="F137" s="549"/>
      <c r="G137" s="549"/>
      <c r="H137" s="549"/>
      <c r="I137" s="549"/>
      <c r="J137" s="550" t="s">
        <v>577</v>
      </c>
      <c r="K137" s="550"/>
      <c r="L137" s="550">
        <v>1</v>
      </c>
      <c r="M137" s="550"/>
      <c r="N137" s="551">
        <f>D172</f>
        <v>180.15</v>
      </c>
      <c r="O137" s="550"/>
      <c r="P137" s="551">
        <f t="shared" si="4"/>
        <v>180.15</v>
      </c>
      <c r="Q137" s="550"/>
      <c r="R137" s="552"/>
      <c r="S137" s="552"/>
      <c r="T137" s="18"/>
      <c r="U137" s="18"/>
      <c r="V137" s="18"/>
      <c r="X137" s="16"/>
      <c r="Y137" s="16"/>
      <c r="AD137" s="16"/>
    </row>
    <row r="138" spans="1:30" ht="15.75" customHeight="1">
      <c r="A138" s="549" t="s">
        <v>579</v>
      </c>
      <c r="B138" s="549"/>
      <c r="C138" s="549"/>
      <c r="D138" s="549"/>
      <c r="E138" s="549"/>
      <c r="F138" s="549"/>
      <c r="G138" s="549"/>
      <c r="H138" s="549"/>
      <c r="I138" s="549"/>
      <c r="J138" s="550" t="s">
        <v>577</v>
      </c>
      <c r="K138" s="550"/>
      <c r="L138" s="550">
        <v>1</v>
      </c>
      <c r="M138" s="550"/>
      <c r="N138" s="551">
        <f>(N137/12)*2</f>
        <v>30.025000000000002</v>
      </c>
      <c r="O138" s="550"/>
      <c r="P138" s="551">
        <f t="shared" si="4"/>
        <v>30.025000000000002</v>
      </c>
      <c r="Q138" s="550"/>
      <c r="R138" s="552"/>
      <c r="S138" s="552"/>
      <c r="T138" s="18"/>
      <c r="U138" s="18"/>
      <c r="V138" s="18"/>
      <c r="X138" s="16"/>
      <c r="Y138" s="16"/>
      <c r="AD138" s="16"/>
    </row>
    <row r="139" spans="1:30" ht="15.75" customHeight="1">
      <c r="A139" s="549" t="s">
        <v>580</v>
      </c>
      <c r="B139" s="549"/>
      <c r="C139" s="549"/>
      <c r="D139" s="549"/>
      <c r="E139" s="549"/>
      <c r="F139" s="549"/>
      <c r="G139" s="549"/>
      <c r="H139" s="549"/>
      <c r="I139" s="549"/>
      <c r="J139" s="550" t="s">
        <v>577</v>
      </c>
      <c r="K139" s="550"/>
      <c r="L139" s="550">
        <v>1</v>
      </c>
      <c r="M139" s="550"/>
      <c r="N139" s="551">
        <f>'BANCO DE DADOS'!$K$15</f>
        <v>37</v>
      </c>
      <c r="O139" s="550"/>
      <c r="P139" s="551">
        <f t="shared" si="4"/>
        <v>37</v>
      </c>
      <c r="Q139" s="550"/>
      <c r="R139" s="552"/>
      <c r="S139" s="552"/>
      <c r="T139" s="18"/>
      <c r="U139" s="18"/>
      <c r="V139" s="18"/>
      <c r="X139" s="16"/>
      <c r="Y139" s="16"/>
      <c r="AD139" s="16"/>
    </row>
    <row r="140" spans="1:30" ht="15.75" customHeight="1">
      <c r="A140" s="549" t="s">
        <v>244</v>
      </c>
      <c r="B140" s="549"/>
      <c r="C140" s="549"/>
      <c r="D140" s="549"/>
      <c r="E140" s="549"/>
      <c r="F140" s="549"/>
      <c r="G140" s="549"/>
      <c r="H140" s="549"/>
      <c r="I140" s="549"/>
      <c r="J140" s="550" t="s">
        <v>577</v>
      </c>
      <c r="K140" s="550"/>
      <c r="L140" s="550">
        <v>1</v>
      </c>
      <c r="M140" s="550"/>
      <c r="N140" s="551">
        <f>'BANCO DE DADOS'!$K$16</f>
        <v>12.91</v>
      </c>
      <c r="O140" s="550"/>
      <c r="P140" s="551">
        <f t="shared" si="4"/>
        <v>12.91</v>
      </c>
      <c r="Q140" s="550"/>
      <c r="R140" s="552"/>
      <c r="S140" s="552"/>
      <c r="T140" s="18"/>
      <c r="U140" s="18"/>
      <c r="V140" s="18"/>
      <c r="X140" s="16"/>
      <c r="Y140" s="16"/>
      <c r="AD140" s="16"/>
    </row>
    <row r="141" spans="1:30" ht="15.75" customHeight="1">
      <c r="A141" s="549" t="s">
        <v>581</v>
      </c>
      <c r="B141" s="549"/>
      <c r="C141" s="549"/>
      <c r="D141" s="549"/>
      <c r="E141" s="549"/>
      <c r="F141" s="549"/>
      <c r="G141" s="549"/>
      <c r="H141" s="549"/>
      <c r="I141" s="549"/>
      <c r="J141" s="550" t="s">
        <v>577</v>
      </c>
      <c r="K141" s="550"/>
      <c r="L141" s="550">
        <v>1</v>
      </c>
      <c r="M141" s="550"/>
      <c r="N141" s="551">
        <f>'BANCO DE DADOS'!$K$17</f>
        <v>32</v>
      </c>
      <c r="O141" s="550"/>
      <c r="P141" s="551">
        <f t="shared" si="4"/>
        <v>32</v>
      </c>
      <c r="Q141" s="550"/>
      <c r="R141" s="552"/>
      <c r="S141" s="552"/>
      <c r="T141" s="18"/>
      <c r="U141" s="18"/>
      <c r="V141" s="18"/>
      <c r="X141" s="16"/>
      <c r="Y141" s="16"/>
      <c r="AD141" s="16"/>
    </row>
    <row r="142" spans="1:30" ht="15.75" customHeight="1">
      <c r="A142" s="549" t="s">
        <v>582</v>
      </c>
      <c r="B142" s="549"/>
      <c r="C142" s="549"/>
      <c r="D142" s="549"/>
      <c r="E142" s="549"/>
      <c r="F142" s="549"/>
      <c r="G142" s="549"/>
      <c r="H142" s="549"/>
      <c r="I142" s="549"/>
      <c r="J142" s="550" t="s">
        <v>577</v>
      </c>
      <c r="K142" s="550"/>
      <c r="L142" s="550">
        <v>1</v>
      </c>
      <c r="M142" s="550"/>
      <c r="N142" s="551">
        <f>$N$185</f>
        <v>43.91</v>
      </c>
      <c r="O142" s="550"/>
      <c r="P142" s="551">
        <f t="shared" si="4"/>
        <v>43.91</v>
      </c>
      <c r="Q142" s="550"/>
      <c r="R142" s="552"/>
      <c r="S142" s="552"/>
      <c r="T142" s="18"/>
      <c r="U142" s="18"/>
      <c r="V142" s="18"/>
      <c r="X142" s="16"/>
      <c r="Y142" s="16"/>
      <c r="AD142" s="16"/>
    </row>
    <row r="143" spans="1:30" ht="15.75" customHeight="1">
      <c r="A143" s="561" t="s">
        <v>593</v>
      </c>
      <c r="B143" s="562"/>
      <c r="C143" s="562"/>
      <c r="D143" s="562"/>
      <c r="E143" s="562"/>
      <c r="F143" s="562"/>
      <c r="G143" s="562"/>
      <c r="H143" s="562"/>
      <c r="I143" s="562"/>
      <c r="J143" s="562"/>
      <c r="K143" s="562"/>
      <c r="L143" s="562"/>
      <c r="M143" s="562"/>
      <c r="N143" s="562"/>
      <c r="O143" s="563"/>
      <c r="P143" s="560">
        <f>SUM(P134:Q142)</f>
        <v>5366.6100880000004</v>
      </c>
      <c r="Q143" s="555"/>
      <c r="R143" s="565"/>
      <c r="S143" s="565"/>
      <c r="T143" s="18"/>
      <c r="U143" s="18"/>
      <c r="V143" s="18"/>
      <c r="X143" s="16"/>
      <c r="Y143" s="16"/>
      <c r="AD143" s="16"/>
    </row>
    <row r="144" spans="1:30" ht="15.75" customHeight="1">
      <c r="A144" s="549" t="s">
        <v>584</v>
      </c>
      <c r="B144" s="549"/>
      <c r="C144" s="549"/>
      <c r="D144" s="549"/>
      <c r="E144" s="549"/>
      <c r="F144" s="549"/>
      <c r="G144" s="549"/>
      <c r="H144" s="549"/>
      <c r="I144" s="549"/>
      <c r="J144" s="550" t="s">
        <v>585</v>
      </c>
      <c r="K144" s="550"/>
      <c r="L144" s="550">
        <v>1</v>
      </c>
      <c r="M144" s="550"/>
      <c r="N144" s="551">
        <f>P143</f>
        <v>5366.6100880000004</v>
      </c>
      <c r="O144" s="550"/>
      <c r="P144" s="551">
        <f>N144*L144</f>
        <v>5366.6100880000004</v>
      </c>
      <c r="Q144" s="550"/>
      <c r="R144" s="552"/>
      <c r="S144" s="552"/>
      <c r="T144" s="18"/>
      <c r="U144" s="18"/>
      <c r="V144" s="18"/>
      <c r="X144" s="16"/>
      <c r="Y144" s="16"/>
      <c r="AD144" s="16"/>
    </row>
    <row r="145" spans="1:30" ht="15.75" customHeight="1">
      <c r="A145" s="556" t="s">
        <v>587</v>
      </c>
      <c r="B145" s="557"/>
      <c r="C145" s="557"/>
      <c r="D145" s="557"/>
      <c r="E145" s="557"/>
      <c r="F145" s="557"/>
      <c r="G145" s="557"/>
      <c r="H145" s="557"/>
      <c r="I145" s="557"/>
      <c r="J145" s="557"/>
      <c r="K145" s="557"/>
      <c r="L145" s="557"/>
      <c r="M145" s="557"/>
      <c r="N145" s="557"/>
      <c r="O145" s="558"/>
      <c r="P145" s="559">
        <v>1</v>
      </c>
      <c r="Q145" s="559"/>
      <c r="R145" s="560">
        <f>P144*P145</f>
        <v>5366.6100880000004</v>
      </c>
      <c r="S145" s="555"/>
      <c r="T145" s="18"/>
      <c r="U145" s="18"/>
      <c r="V145" s="18"/>
      <c r="X145" s="16"/>
      <c r="Y145" s="16"/>
      <c r="AD145" s="16"/>
    </row>
    <row r="146" spans="1:30" ht="15.6">
      <c r="A146" s="400" t="str">
        <f>A39</f>
        <v>1.6</v>
      </c>
      <c r="B146" s="390" t="str">
        <f>B39</f>
        <v>Encarregado</v>
      </c>
      <c r="C146" s="31"/>
      <c r="D146" s="31"/>
      <c r="E146" s="31"/>
      <c r="F146" s="31"/>
      <c r="G146" s="39"/>
      <c r="H146" s="19"/>
      <c r="I146" s="42"/>
      <c r="J146" s="19"/>
      <c r="K146" s="19"/>
      <c r="L146" s="19"/>
      <c r="M146" s="19"/>
      <c r="N146" s="19"/>
      <c r="O146" s="19"/>
      <c r="P146" s="19"/>
      <c r="Q146" s="19"/>
      <c r="R146" s="20"/>
      <c r="S146" s="19"/>
      <c r="T146" s="18"/>
      <c r="U146" s="18"/>
      <c r="V146" s="18"/>
      <c r="X146" s="16"/>
      <c r="Y146" s="16"/>
      <c r="AD146" s="16"/>
    </row>
    <row r="147" spans="1:30" ht="15.75" customHeight="1">
      <c r="A147" s="554" t="s">
        <v>569</v>
      </c>
      <c r="B147" s="554"/>
      <c r="C147" s="554"/>
      <c r="D147" s="554"/>
      <c r="E147" s="554"/>
      <c r="F147" s="554"/>
      <c r="G147" s="554"/>
      <c r="H147" s="554"/>
      <c r="I147" s="554"/>
      <c r="J147" s="555" t="s">
        <v>24</v>
      </c>
      <c r="K147" s="555"/>
      <c r="L147" s="555" t="s">
        <v>36</v>
      </c>
      <c r="M147" s="555"/>
      <c r="N147" s="555" t="s">
        <v>570</v>
      </c>
      <c r="O147" s="555"/>
      <c r="P147" s="555" t="s">
        <v>571</v>
      </c>
      <c r="Q147" s="555"/>
      <c r="R147" s="555" t="s">
        <v>572</v>
      </c>
      <c r="S147" s="555"/>
      <c r="T147" s="18"/>
      <c r="U147" s="18"/>
      <c r="V147" s="18"/>
      <c r="X147" s="16"/>
      <c r="Y147" s="16"/>
      <c r="AD147" s="16"/>
    </row>
    <row r="148" spans="1:30" ht="15.75" customHeight="1">
      <c r="A148" s="549" t="s">
        <v>568</v>
      </c>
      <c r="B148" s="549"/>
      <c r="C148" s="549"/>
      <c r="D148" s="549"/>
      <c r="E148" s="549"/>
      <c r="F148" s="549"/>
      <c r="G148" s="549"/>
      <c r="H148" s="549"/>
      <c r="I148" s="549"/>
      <c r="J148" s="550" t="s">
        <v>573</v>
      </c>
      <c r="K148" s="550"/>
      <c r="L148" s="550">
        <v>1</v>
      </c>
      <c r="M148" s="550"/>
      <c r="N148" s="551">
        <v>2000</v>
      </c>
      <c r="O148" s="550"/>
      <c r="P148" s="551">
        <f>N148*L148</f>
        <v>2000</v>
      </c>
      <c r="Q148" s="550"/>
      <c r="R148" s="552"/>
      <c r="S148" s="552"/>
      <c r="T148" s="18"/>
      <c r="U148" s="18"/>
      <c r="V148" s="18"/>
      <c r="X148" s="16"/>
      <c r="Y148" s="16"/>
      <c r="AD148" s="16"/>
    </row>
    <row r="149" spans="1:30" ht="15.75" customHeight="1">
      <c r="A149" s="751" t="s">
        <v>575</v>
      </c>
      <c r="B149" s="752"/>
      <c r="C149" s="752"/>
      <c r="D149" s="752"/>
      <c r="E149" s="752"/>
      <c r="F149" s="752"/>
      <c r="G149" s="752"/>
      <c r="H149" s="752"/>
      <c r="I149" s="753"/>
      <c r="J149" s="550" t="s">
        <v>576</v>
      </c>
      <c r="K149" s="550"/>
      <c r="L149" s="550">
        <f>$D$166</f>
        <v>16</v>
      </c>
      <c r="M149" s="550"/>
      <c r="N149" s="551">
        <f>(N148/220)*1.5</f>
        <v>13.636363636363637</v>
      </c>
      <c r="O149" s="550"/>
      <c r="P149" s="551">
        <f>N149*L149</f>
        <v>218.18181818181819</v>
      </c>
      <c r="Q149" s="550"/>
      <c r="R149" s="552"/>
      <c r="S149" s="552"/>
      <c r="T149" s="18"/>
      <c r="U149" s="18"/>
      <c r="V149" s="18"/>
      <c r="X149" s="16"/>
      <c r="Y149" s="16"/>
      <c r="AD149" s="16"/>
    </row>
    <row r="150" spans="1:30" ht="15.75" customHeight="1">
      <c r="A150" s="751" t="s">
        <v>574</v>
      </c>
      <c r="B150" s="752"/>
      <c r="C150" s="752"/>
      <c r="D150" s="752"/>
      <c r="E150" s="752"/>
      <c r="F150" s="752"/>
      <c r="G150" s="752"/>
      <c r="H150" s="752"/>
      <c r="I150" s="753"/>
      <c r="J150" s="550" t="s">
        <v>576</v>
      </c>
      <c r="K150" s="550"/>
      <c r="L150" s="550">
        <f>$D$167</f>
        <v>10</v>
      </c>
      <c r="M150" s="550"/>
      <c r="N150" s="551">
        <f>N148/220*2</f>
        <v>18.181818181818183</v>
      </c>
      <c r="O150" s="550"/>
      <c r="P150" s="551">
        <f>N150*L150</f>
        <v>181.81818181818184</v>
      </c>
      <c r="Q150" s="550"/>
      <c r="R150" s="552"/>
      <c r="S150" s="552"/>
      <c r="T150" s="18"/>
      <c r="U150" s="18"/>
      <c r="V150" s="18"/>
      <c r="X150" s="16"/>
      <c r="Y150" s="16"/>
      <c r="AD150" s="16"/>
    </row>
    <row r="151" spans="1:30" ht="15.75" customHeight="1">
      <c r="A151" s="561" t="s">
        <v>571</v>
      </c>
      <c r="B151" s="562"/>
      <c r="C151" s="562"/>
      <c r="D151" s="562"/>
      <c r="E151" s="562"/>
      <c r="F151" s="562"/>
      <c r="G151" s="562"/>
      <c r="H151" s="562"/>
      <c r="I151" s="562"/>
      <c r="J151" s="562"/>
      <c r="K151" s="562"/>
      <c r="L151" s="562"/>
      <c r="M151" s="562"/>
      <c r="N151" s="562"/>
      <c r="O151" s="563"/>
      <c r="P151" s="560">
        <f>SUM(P148:Q150)</f>
        <v>2400</v>
      </c>
      <c r="Q151" s="555"/>
      <c r="R151" s="552"/>
      <c r="S151" s="552"/>
      <c r="T151" s="18"/>
      <c r="U151" s="18"/>
      <c r="V151" s="18"/>
      <c r="X151" s="16"/>
      <c r="Y151" s="16"/>
      <c r="AD151" s="16"/>
    </row>
    <row r="152" spans="1:30" ht="15.75" customHeight="1">
      <c r="A152" s="549" t="s">
        <v>1</v>
      </c>
      <c r="B152" s="549"/>
      <c r="C152" s="549"/>
      <c r="D152" s="549"/>
      <c r="E152" s="549"/>
      <c r="F152" s="549"/>
      <c r="G152" s="549"/>
      <c r="H152" s="549"/>
      <c r="I152" s="549"/>
      <c r="J152" s="550" t="s">
        <v>542</v>
      </c>
      <c r="K152" s="550"/>
      <c r="L152" s="564">
        <f>$D$168</f>
        <v>0.85355440000000016</v>
      </c>
      <c r="M152" s="564"/>
      <c r="N152" s="551">
        <f>P151</f>
        <v>2400</v>
      </c>
      <c r="O152" s="550"/>
      <c r="P152" s="551">
        <f>L152*N152</f>
        <v>2048.5305600000002</v>
      </c>
      <c r="Q152" s="550"/>
      <c r="R152" s="552"/>
      <c r="S152" s="552"/>
      <c r="T152" s="18"/>
      <c r="U152" s="18"/>
      <c r="V152" s="18"/>
      <c r="X152" s="16"/>
      <c r="Y152" s="16"/>
      <c r="AD152" s="16"/>
    </row>
    <row r="153" spans="1:30" ht="15.75" customHeight="1">
      <c r="A153" s="549" t="s">
        <v>588</v>
      </c>
      <c r="B153" s="549"/>
      <c r="C153" s="549"/>
      <c r="D153" s="549"/>
      <c r="E153" s="549"/>
      <c r="F153" s="549"/>
      <c r="G153" s="549"/>
      <c r="H153" s="549"/>
      <c r="I153" s="549"/>
      <c r="J153" s="550" t="s">
        <v>578</v>
      </c>
      <c r="K153" s="550"/>
      <c r="L153" s="550">
        <v>26</v>
      </c>
      <c r="M153" s="550"/>
      <c r="N153" s="551">
        <f>$D$173*0.9</f>
        <v>13.833</v>
      </c>
      <c r="O153" s="550"/>
      <c r="P153" s="551">
        <f t="shared" ref="P153:P159" si="5">N153*L153</f>
        <v>359.65800000000002</v>
      </c>
      <c r="Q153" s="550"/>
      <c r="R153" s="552"/>
      <c r="S153" s="552"/>
      <c r="T153" s="18"/>
      <c r="U153" s="18"/>
      <c r="V153" s="18"/>
      <c r="X153" s="16"/>
      <c r="Y153" s="16"/>
      <c r="AD153" s="16"/>
    </row>
    <row r="154" spans="1:30" ht="15.75" customHeight="1">
      <c r="A154" s="549" t="s">
        <v>4</v>
      </c>
      <c r="B154" s="549"/>
      <c r="C154" s="549"/>
      <c r="D154" s="549"/>
      <c r="E154" s="549"/>
      <c r="F154" s="549"/>
      <c r="G154" s="549"/>
      <c r="H154" s="549"/>
      <c r="I154" s="549"/>
      <c r="J154" s="550" t="s">
        <v>577</v>
      </c>
      <c r="K154" s="550"/>
      <c r="L154" s="550">
        <v>1</v>
      </c>
      <c r="M154" s="550"/>
      <c r="N154" s="551">
        <f>N137</f>
        <v>180.15</v>
      </c>
      <c r="O154" s="550"/>
      <c r="P154" s="551">
        <f t="shared" si="5"/>
        <v>180.15</v>
      </c>
      <c r="Q154" s="550"/>
      <c r="R154" s="552"/>
      <c r="S154" s="552"/>
      <c r="T154" s="18"/>
      <c r="U154" s="18"/>
      <c r="V154" s="18"/>
      <c r="X154" s="16"/>
      <c r="Y154" s="16"/>
      <c r="AD154" s="16"/>
    </row>
    <row r="155" spans="1:30" ht="15.75" customHeight="1">
      <c r="A155" s="549" t="s">
        <v>579</v>
      </c>
      <c r="B155" s="549"/>
      <c r="C155" s="549"/>
      <c r="D155" s="549"/>
      <c r="E155" s="549"/>
      <c r="F155" s="549"/>
      <c r="G155" s="549"/>
      <c r="H155" s="549"/>
      <c r="I155" s="549"/>
      <c r="J155" s="550" t="s">
        <v>577</v>
      </c>
      <c r="K155" s="550"/>
      <c r="L155" s="550">
        <v>1</v>
      </c>
      <c r="M155" s="550"/>
      <c r="N155" s="551">
        <f>(N154/12)*2</f>
        <v>30.025000000000002</v>
      </c>
      <c r="O155" s="550"/>
      <c r="P155" s="551">
        <f t="shared" si="5"/>
        <v>30.025000000000002</v>
      </c>
      <c r="Q155" s="550"/>
      <c r="R155" s="552"/>
      <c r="S155" s="552"/>
      <c r="T155" s="18"/>
      <c r="U155" s="18"/>
      <c r="V155" s="18"/>
      <c r="X155" s="16"/>
      <c r="Y155" s="16"/>
      <c r="AD155" s="16"/>
    </row>
    <row r="156" spans="1:30" ht="15.75" customHeight="1">
      <c r="A156" s="549" t="s">
        <v>580</v>
      </c>
      <c r="B156" s="549"/>
      <c r="C156" s="549"/>
      <c r="D156" s="549"/>
      <c r="E156" s="549"/>
      <c r="F156" s="549"/>
      <c r="G156" s="549"/>
      <c r="H156" s="549"/>
      <c r="I156" s="549"/>
      <c r="J156" s="550" t="s">
        <v>577</v>
      </c>
      <c r="K156" s="550"/>
      <c r="L156" s="550">
        <v>1</v>
      </c>
      <c r="M156" s="550"/>
      <c r="N156" s="551">
        <f>'BANCO DE DADOS'!$K$15</f>
        <v>37</v>
      </c>
      <c r="O156" s="550"/>
      <c r="P156" s="551">
        <f t="shared" si="5"/>
        <v>37</v>
      </c>
      <c r="Q156" s="550"/>
      <c r="R156" s="552"/>
      <c r="S156" s="552"/>
      <c r="T156" s="18"/>
      <c r="U156" s="18"/>
      <c r="V156" s="18"/>
      <c r="X156" s="16"/>
      <c r="Y156" s="16"/>
      <c r="AD156" s="16"/>
    </row>
    <row r="157" spans="1:30" ht="15.75" customHeight="1">
      <c r="A157" s="549" t="s">
        <v>244</v>
      </c>
      <c r="B157" s="549"/>
      <c r="C157" s="549"/>
      <c r="D157" s="549"/>
      <c r="E157" s="549"/>
      <c r="F157" s="549"/>
      <c r="G157" s="549"/>
      <c r="H157" s="549"/>
      <c r="I157" s="549"/>
      <c r="J157" s="550" t="s">
        <v>577</v>
      </c>
      <c r="K157" s="550"/>
      <c r="L157" s="550">
        <v>1</v>
      </c>
      <c r="M157" s="550"/>
      <c r="N157" s="551">
        <f>'BANCO DE DADOS'!$K$16</f>
        <v>12.91</v>
      </c>
      <c r="O157" s="550"/>
      <c r="P157" s="551">
        <f t="shared" si="5"/>
        <v>12.91</v>
      </c>
      <c r="Q157" s="550"/>
      <c r="R157" s="552"/>
      <c r="S157" s="552"/>
      <c r="T157" s="18"/>
      <c r="U157" s="18"/>
      <c r="V157" s="18"/>
      <c r="X157" s="16"/>
      <c r="Y157" s="16"/>
      <c r="AD157" s="16"/>
    </row>
    <row r="158" spans="1:30" ht="15.75" customHeight="1">
      <c r="A158" s="549" t="s">
        <v>581</v>
      </c>
      <c r="B158" s="549"/>
      <c r="C158" s="549"/>
      <c r="D158" s="549"/>
      <c r="E158" s="549"/>
      <c r="F158" s="549"/>
      <c r="G158" s="549"/>
      <c r="H158" s="549"/>
      <c r="I158" s="549"/>
      <c r="J158" s="550" t="s">
        <v>577</v>
      </c>
      <c r="K158" s="550"/>
      <c r="L158" s="550">
        <v>1</v>
      </c>
      <c r="M158" s="550"/>
      <c r="N158" s="551">
        <f>'BANCO DE DADOS'!$K$17</f>
        <v>32</v>
      </c>
      <c r="O158" s="550"/>
      <c r="P158" s="551">
        <f t="shared" si="5"/>
        <v>32</v>
      </c>
      <c r="Q158" s="550"/>
      <c r="R158" s="552"/>
      <c r="S158" s="552"/>
      <c r="T158" s="18"/>
      <c r="U158" s="18"/>
      <c r="V158" s="18"/>
      <c r="X158" s="16"/>
      <c r="Y158" s="16"/>
      <c r="AD158" s="16"/>
    </row>
    <row r="159" spans="1:30" ht="15.75" customHeight="1">
      <c r="A159" s="549" t="s">
        <v>582</v>
      </c>
      <c r="B159" s="549"/>
      <c r="C159" s="549"/>
      <c r="D159" s="549"/>
      <c r="E159" s="549"/>
      <c r="F159" s="549"/>
      <c r="G159" s="549"/>
      <c r="H159" s="549"/>
      <c r="I159" s="549"/>
      <c r="J159" s="550" t="s">
        <v>577</v>
      </c>
      <c r="K159" s="550"/>
      <c r="L159" s="550">
        <v>1</v>
      </c>
      <c r="M159" s="550"/>
      <c r="N159" s="551">
        <f>$N$185</f>
        <v>43.91</v>
      </c>
      <c r="O159" s="550"/>
      <c r="P159" s="551">
        <f t="shared" si="5"/>
        <v>43.91</v>
      </c>
      <c r="Q159" s="550"/>
      <c r="R159" s="552"/>
      <c r="S159" s="552"/>
      <c r="T159" s="18"/>
      <c r="U159" s="18"/>
      <c r="V159" s="18"/>
      <c r="X159" s="16"/>
      <c r="Y159" s="16"/>
      <c r="AD159" s="16"/>
    </row>
    <row r="160" spans="1:30" ht="15.75" customHeight="1">
      <c r="A160" s="561" t="s">
        <v>593</v>
      </c>
      <c r="B160" s="562"/>
      <c r="C160" s="562"/>
      <c r="D160" s="562"/>
      <c r="E160" s="562"/>
      <c r="F160" s="562"/>
      <c r="G160" s="562"/>
      <c r="H160" s="562"/>
      <c r="I160" s="562"/>
      <c r="J160" s="562"/>
      <c r="K160" s="562"/>
      <c r="L160" s="562"/>
      <c r="M160" s="562"/>
      <c r="N160" s="562"/>
      <c r="O160" s="563"/>
      <c r="P160" s="560">
        <f>SUM(P151:Q159)</f>
        <v>5144.1835599999995</v>
      </c>
      <c r="Q160" s="555"/>
      <c r="R160" s="565"/>
      <c r="S160" s="565"/>
      <c r="T160" s="18"/>
      <c r="U160" s="18"/>
      <c r="V160" s="18"/>
      <c r="X160" s="16"/>
      <c r="Y160" s="16"/>
      <c r="AD160" s="16"/>
    </row>
    <row r="161" spans="1:30" ht="15.75" customHeight="1">
      <c r="A161" s="549" t="s">
        <v>584</v>
      </c>
      <c r="B161" s="549"/>
      <c r="C161" s="549"/>
      <c r="D161" s="549"/>
      <c r="E161" s="549"/>
      <c r="F161" s="549"/>
      <c r="G161" s="549"/>
      <c r="H161" s="549"/>
      <c r="I161" s="549"/>
      <c r="J161" s="550" t="s">
        <v>585</v>
      </c>
      <c r="K161" s="550"/>
      <c r="L161" s="550">
        <v>1</v>
      </c>
      <c r="M161" s="550"/>
      <c r="N161" s="551">
        <f>P160</f>
        <v>5144.1835599999995</v>
      </c>
      <c r="O161" s="550"/>
      <c r="P161" s="551">
        <f>N161*L161</f>
        <v>5144.1835599999995</v>
      </c>
      <c r="Q161" s="550"/>
      <c r="R161" s="552"/>
      <c r="S161" s="552"/>
      <c r="T161" s="18"/>
      <c r="U161" s="18"/>
      <c r="V161" s="18"/>
      <c r="X161" s="16"/>
      <c r="Y161" s="16"/>
      <c r="AD161" s="16"/>
    </row>
    <row r="162" spans="1:30" ht="15.75" customHeight="1">
      <c r="A162" s="556" t="s">
        <v>587</v>
      </c>
      <c r="B162" s="557"/>
      <c r="C162" s="557"/>
      <c r="D162" s="557"/>
      <c r="E162" s="557"/>
      <c r="F162" s="557"/>
      <c r="G162" s="557"/>
      <c r="H162" s="557"/>
      <c r="I162" s="557"/>
      <c r="J162" s="557"/>
      <c r="K162" s="557"/>
      <c r="L162" s="557"/>
      <c r="M162" s="557"/>
      <c r="N162" s="557"/>
      <c r="O162" s="558"/>
      <c r="P162" s="559">
        <v>0.5</v>
      </c>
      <c r="Q162" s="559"/>
      <c r="R162" s="560">
        <f>P161*P162</f>
        <v>2572.0917799999997</v>
      </c>
      <c r="S162" s="555"/>
      <c r="T162" s="18"/>
      <c r="U162" s="18"/>
      <c r="V162" s="18"/>
      <c r="X162" s="16"/>
      <c r="Y162" s="16"/>
      <c r="AD162" s="16"/>
    </row>
    <row r="163" spans="1:30" ht="15.6">
      <c r="A163" s="39"/>
      <c r="B163" s="42"/>
      <c r="C163" s="31"/>
      <c r="D163" s="31"/>
      <c r="E163" s="31"/>
      <c r="F163" s="31"/>
      <c r="G163" s="39"/>
      <c r="H163" s="19"/>
      <c r="I163" s="42"/>
      <c r="J163" s="19"/>
      <c r="K163" s="19"/>
      <c r="L163" s="19"/>
      <c r="M163" s="19"/>
      <c r="N163" s="19"/>
      <c r="O163" s="19"/>
      <c r="P163" s="19"/>
      <c r="Q163" s="19"/>
      <c r="R163" s="20"/>
      <c r="S163" s="19"/>
      <c r="T163" s="18"/>
      <c r="U163" s="18"/>
      <c r="V163" s="18"/>
      <c r="X163" s="16"/>
      <c r="Y163" s="16"/>
      <c r="AD163" s="16"/>
    </row>
    <row r="164" spans="1:30" s="51" customFormat="1" ht="13.8">
      <c r="A164" s="773" t="s">
        <v>594</v>
      </c>
      <c r="B164" s="773"/>
      <c r="C164" s="773"/>
      <c r="D164" s="773"/>
      <c r="E164" s="773"/>
      <c r="F164" s="773"/>
      <c r="G164" s="773"/>
      <c r="H164" s="47"/>
      <c r="I164" s="47"/>
      <c r="J164" s="47"/>
      <c r="K164" s="47"/>
      <c r="L164" s="47"/>
      <c r="M164" s="47"/>
      <c r="N164" s="47"/>
      <c r="O164" s="47"/>
      <c r="P164" s="47"/>
      <c r="Q164" s="47"/>
      <c r="R164" s="49"/>
      <c r="S164" s="47"/>
      <c r="T164" s="50"/>
      <c r="U164" s="50"/>
      <c r="V164" s="50"/>
    </row>
    <row r="165" spans="1:30" s="51" customFormat="1" ht="13.8">
      <c r="A165" s="774" t="s">
        <v>0</v>
      </c>
      <c r="B165" s="775"/>
      <c r="C165" s="776"/>
      <c r="D165" s="777">
        <f>'BANCO DE DADOS'!E4</f>
        <v>1045</v>
      </c>
      <c r="E165" s="777"/>
      <c r="F165" s="778"/>
      <c r="G165" s="778"/>
      <c r="H165" s="47"/>
      <c r="I165" s="47"/>
      <c r="J165" s="47"/>
      <c r="K165" s="47"/>
      <c r="L165" s="47"/>
      <c r="M165" s="47"/>
      <c r="N165" s="47"/>
      <c r="O165" s="47"/>
      <c r="P165" s="47"/>
      <c r="Q165" s="47"/>
      <c r="R165" s="49"/>
      <c r="S165" s="47"/>
      <c r="T165" s="50"/>
      <c r="U165" s="50"/>
      <c r="V165" s="50"/>
    </row>
    <row r="166" spans="1:30" s="51" customFormat="1" ht="13.8">
      <c r="A166" s="774" t="s">
        <v>285</v>
      </c>
      <c r="B166" s="775"/>
      <c r="C166" s="776"/>
      <c r="D166" s="799">
        <v>16</v>
      </c>
      <c r="E166" s="799"/>
      <c r="F166" s="778"/>
      <c r="G166" s="778"/>
      <c r="H166" s="47"/>
      <c r="I166" s="47"/>
      <c r="J166" s="47"/>
      <c r="K166" s="47"/>
      <c r="L166" s="47"/>
      <c r="M166" s="47"/>
      <c r="N166" s="47"/>
      <c r="O166" s="47"/>
      <c r="P166" s="47"/>
      <c r="Q166" s="47"/>
      <c r="R166" s="49"/>
      <c r="S166" s="47"/>
      <c r="T166" s="50"/>
      <c r="U166" s="50"/>
      <c r="V166" s="50"/>
    </row>
    <row r="167" spans="1:30" s="51" customFormat="1" ht="13.8">
      <c r="A167" s="774" t="s">
        <v>284</v>
      </c>
      <c r="B167" s="775"/>
      <c r="C167" s="776"/>
      <c r="D167" s="799">
        <v>10</v>
      </c>
      <c r="E167" s="799"/>
      <c r="F167" s="778"/>
      <c r="G167" s="778"/>
      <c r="H167" s="47"/>
      <c r="I167" s="47"/>
      <c r="J167" s="47"/>
      <c r="K167" s="47"/>
      <c r="L167" s="47"/>
      <c r="M167" s="47"/>
      <c r="N167" s="47"/>
      <c r="O167" s="47"/>
      <c r="P167" s="47"/>
      <c r="Q167" s="47"/>
      <c r="R167" s="49"/>
      <c r="S167" s="47"/>
      <c r="T167" s="50"/>
      <c r="U167" s="50"/>
      <c r="V167" s="50"/>
    </row>
    <row r="168" spans="1:30" s="51" customFormat="1" ht="13.8">
      <c r="A168" s="774" t="s">
        <v>1</v>
      </c>
      <c r="B168" s="775"/>
      <c r="C168" s="776"/>
      <c r="D168" s="793">
        <f>Encargos!C40</f>
        <v>0.85355440000000016</v>
      </c>
      <c r="E168" s="793"/>
      <c r="F168" s="778"/>
      <c r="G168" s="778"/>
      <c r="H168" s="47"/>
      <c r="I168" s="47"/>
      <c r="J168" s="47"/>
      <c r="K168" s="47"/>
      <c r="L168" s="47"/>
      <c r="M168" s="47"/>
      <c r="N168" s="47"/>
      <c r="O168" s="47"/>
      <c r="P168" s="47"/>
      <c r="Q168" s="47"/>
      <c r="R168" s="49"/>
      <c r="S168" s="47"/>
      <c r="T168" s="50"/>
      <c r="U168" s="50"/>
      <c r="V168" s="50"/>
    </row>
    <row r="169" spans="1:30" s="51" customFormat="1" ht="13.8">
      <c r="A169" s="774" t="s">
        <v>5</v>
      </c>
      <c r="B169" s="775"/>
      <c r="C169" s="776"/>
      <c r="D169" s="777">
        <f>'BANCO DE DADOS'!K13</f>
        <v>3.2</v>
      </c>
      <c r="E169" s="777"/>
      <c r="F169" s="777">
        <f>(D169*2)*26</f>
        <v>166.4</v>
      </c>
      <c r="G169" s="777"/>
      <c r="H169" s="47"/>
      <c r="I169" s="47"/>
      <c r="J169" s="47"/>
      <c r="K169" s="47"/>
      <c r="L169" s="47"/>
      <c r="M169" s="47"/>
      <c r="N169" s="47"/>
      <c r="O169" s="47"/>
      <c r="P169" s="47"/>
      <c r="Q169" s="47"/>
      <c r="R169" s="49"/>
      <c r="S169" s="47"/>
      <c r="T169" s="50"/>
      <c r="U169" s="50"/>
      <c r="V169" s="50"/>
    </row>
    <row r="170" spans="1:30" s="51" customFormat="1" ht="13.8">
      <c r="A170" s="774" t="s">
        <v>6</v>
      </c>
      <c r="B170" s="775"/>
      <c r="C170" s="776"/>
      <c r="D170" s="777">
        <f>'BANCO DE DADOS'!K16</f>
        <v>12.91</v>
      </c>
      <c r="E170" s="777"/>
      <c r="F170" s="778"/>
      <c r="G170" s="778"/>
      <c r="H170" s="47"/>
      <c r="I170" s="47"/>
      <c r="J170" s="47"/>
      <c r="K170" s="47"/>
      <c r="L170" s="47"/>
      <c r="M170" s="47"/>
      <c r="N170" s="47"/>
      <c r="O170" s="47"/>
      <c r="P170" s="47"/>
      <c r="Q170" s="47"/>
      <c r="R170" s="49"/>
      <c r="S170" s="47"/>
      <c r="T170" s="50"/>
      <c r="U170" s="50"/>
      <c r="V170" s="50"/>
      <c r="W170" s="53"/>
      <c r="X170" s="53"/>
    </row>
    <row r="171" spans="1:30" s="51" customFormat="1" ht="15.75" customHeight="1">
      <c r="A171" s="774" t="s">
        <v>287</v>
      </c>
      <c r="B171" s="775"/>
      <c r="C171" s="776"/>
      <c r="D171" s="777">
        <f>'BANCO DE DADOS'!M10</f>
        <v>171.52</v>
      </c>
      <c r="E171" s="777"/>
      <c r="F171" s="778"/>
      <c r="G171" s="778"/>
      <c r="H171" s="47"/>
      <c r="I171" s="47"/>
      <c r="J171" s="47"/>
      <c r="K171" s="47"/>
      <c r="L171" s="47"/>
      <c r="M171" s="47"/>
      <c r="N171" s="47"/>
      <c r="O171" s="47"/>
      <c r="P171" s="47"/>
      <c r="Q171" s="47"/>
      <c r="R171" s="49"/>
      <c r="S171" s="47"/>
      <c r="T171" s="50"/>
      <c r="U171" s="50"/>
      <c r="V171" s="50"/>
      <c r="W171" s="54"/>
      <c r="X171" s="54"/>
    </row>
    <row r="172" spans="1:30" s="51" customFormat="1" ht="15.75" customHeight="1">
      <c r="A172" s="774" t="s">
        <v>286</v>
      </c>
      <c r="B172" s="775"/>
      <c r="C172" s="776"/>
      <c r="D172" s="777">
        <f>'BANCO DE DADOS'!K10</f>
        <v>180.15</v>
      </c>
      <c r="E172" s="777"/>
      <c r="F172" s="778"/>
      <c r="G172" s="778"/>
      <c r="H172" s="47"/>
      <c r="I172" s="47"/>
      <c r="J172" s="47"/>
      <c r="K172" s="47"/>
      <c r="L172" s="47"/>
      <c r="M172" s="47"/>
      <c r="N172" s="47"/>
      <c r="O172" s="47"/>
      <c r="P172" s="47"/>
      <c r="Q172" s="47"/>
      <c r="R172" s="49"/>
      <c r="S172" s="47"/>
      <c r="T172" s="50"/>
      <c r="U172" s="50"/>
      <c r="V172" s="50"/>
      <c r="W172" s="54"/>
      <c r="X172" s="54"/>
    </row>
    <row r="173" spans="1:30" s="51" customFormat="1" ht="13.8">
      <c r="A173" s="774" t="s">
        <v>288</v>
      </c>
      <c r="B173" s="775"/>
      <c r="C173" s="776"/>
      <c r="D173" s="777">
        <f>'BANCO DE DADOS'!K14</f>
        <v>15.37</v>
      </c>
      <c r="E173" s="777"/>
      <c r="F173" s="777">
        <f>D173*26</f>
        <v>399.62</v>
      </c>
      <c r="G173" s="777"/>
      <c r="H173" s="47"/>
      <c r="I173" s="47"/>
      <c r="J173" s="47"/>
      <c r="K173" s="47"/>
      <c r="L173" s="47"/>
      <c r="M173" s="47"/>
      <c r="N173" s="47"/>
      <c r="O173" s="47"/>
      <c r="P173" s="47"/>
      <c r="Q173" s="47"/>
      <c r="R173" s="49"/>
      <c r="S173" s="47"/>
      <c r="T173" s="50"/>
      <c r="U173" s="50"/>
      <c r="V173" s="50"/>
      <c r="W173" s="55"/>
      <c r="X173" s="55"/>
    </row>
    <row r="174" spans="1:30" s="51" customFormat="1" ht="12.75" customHeight="1">
      <c r="A174" s="57"/>
      <c r="B174" s="58"/>
      <c r="C174" s="52"/>
      <c r="D174" s="47"/>
      <c r="E174" s="48"/>
      <c r="F174" s="47"/>
      <c r="G174" s="47"/>
      <c r="H174" s="47"/>
      <c r="I174" s="47"/>
      <c r="J174" s="47"/>
      <c r="K174" s="47"/>
      <c r="L174" s="47"/>
      <c r="M174" s="47"/>
      <c r="N174" s="47"/>
      <c r="O174" s="47"/>
      <c r="P174" s="47"/>
      <c r="Q174" s="47"/>
      <c r="R174" s="49"/>
      <c r="S174" s="47"/>
      <c r="T174" s="50"/>
      <c r="U174" s="50"/>
      <c r="V174" s="50"/>
      <c r="W174" s="59"/>
      <c r="X174" s="59"/>
    </row>
    <row r="175" spans="1:30" s="51" customFormat="1" ht="19.5" customHeight="1">
      <c r="A175" s="399"/>
      <c r="B175" s="399"/>
      <c r="C175" s="399"/>
      <c r="D175" s="399"/>
      <c r="E175" s="399"/>
      <c r="F175" s="399"/>
      <c r="G175" s="399"/>
      <c r="H175" s="399"/>
      <c r="I175" s="399"/>
      <c r="J175" s="399"/>
      <c r="K175" s="399"/>
      <c r="L175" s="399"/>
      <c r="M175" s="399"/>
      <c r="N175" s="399"/>
      <c r="O175" s="399"/>
      <c r="P175" s="399"/>
      <c r="Q175" s="399"/>
      <c r="R175" s="399"/>
      <c r="S175" s="399"/>
      <c r="T175" s="50"/>
      <c r="U175" s="50"/>
      <c r="V175" s="50"/>
    </row>
    <row r="176" spans="1:30" s="51" customFormat="1" ht="15" customHeight="1">
      <c r="A176" s="787" t="s">
        <v>56</v>
      </c>
      <c r="B176" s="787"/>
      <c r="C176" s="787"/>
      <c r="D176" s="787"/>
      <c r="E176" s="787"/>
      <c r="F176" s="787"/>
      <c r="G176" s="787"/>
      <c r="H176" s="784" t="s">
        <v>57</v>
      </c>
      <c r="I176" s="785"/>
      <c r="J176" s="786"/>
      <c r="K176" s="784" t="s">
        <v>11</v>
      </c>
      <c r="L176" s="786"/>
      <c r="M176" s="784" t="s">
        <v>460</v>
      </c>
      <c r="N176" s="786"/>
      <c r="O176" s="47"/>
      <c r="P176" s="47"/>
      <c r="Q176" s="47"/>
      <c r="R176" s="49"/>
      <c r="S176" s="47"/>
      <c r="T176" s="50"/>
      <c r="U176" s="50"/>
      <c r="V176" s="50"/>
    </row>
    <row r="177" spans="1:30" s="51" customFormat="1" ht="33" customHeight="1">
      <c r="A177" s="594" t="s">
        <v>13</v>
      </c>
      <c r="B177" s="594"/>
      <c r="C177" s="594"/>
      <c r="D177" s="594"/>
      <c r="E177" s="594"/>
      <c r="F177" s="592" t="s">
        <v>16</v>
      </c>
      <c r="G177" s="592"/>
      <c r="H177" s="315" t="s">
        <v>33</v>
      </c>
      <c r="I177" s="812" t="s">
        <v>32</v>
      </c>
      <c r="J177" s="813"/>
      <c r="K177" s="320" t="s">
        <v>33</v>
      </c>
      <c r="L177" s="315" t="s">
        <v>32</v>
      </c>
      <c r="M177" s="61" t="s">
        <v>33</v>
      </c>
      <c r="N177" s="60" t="s">
        <v>32</v>
      </c>
      <c r="O177" s="56"/>
      <c r="P177" s="56"/>
      <c r="Q177" s="52"/>
      <c r="R177" s="798"/>
      <c r="S177" s="798"/>
      <c r="T177" s="800"/>
      <c r="U177" s="800"/>
      <c r="V177" s="63"/>
      <c r="X177" s="64"/>
      <c r="Y177" s="64"/>
      <c r="AD177" s="64"/>
    </row>
    <row r="178" spans="1:30" s="51" customFormat="1" ht="13.8">
      <c r="A178" s="755" t="s">
        <v>30</v>
      </c>
      <c r="B178" s="755"/>
      <c r="C178" s="755"/>
      <c r="D178" s="755"/>
      <c r="E178" s="755"/>
      <c r="F178" s="568">
        <f>'BANCO DE DADOS'!E22</f>
        <v>39.520000000000003</v>
      </c>
      <c r="G178" s="568"/>
      <c r="H178" s="397">
        <f>8/12</f>
        <v>0.66666666666666663</v>
      </c>
      <c r="I178" s="814">
        <f t="shared" ref="I178:I184" si="6">ROUND(F178*H178,2)</f>
        <v>26.35</v>
      </c>
      <c r="J178" s="815"/>
      <c r="K178" s="66">
        <f>6/12</f>
        <v>0.5</v>
      </c>
      <c r="L178" s="314">
        <f t="shared" ref="L178:L184" si="7">ROUND(F178*K178,2)</f>
        <v>19.760000000000002</v>
      </c>
      <c r="M178" s="66">
        <f>4/12</f>
        <v>0.33333333333333331</v>
      </c>
      <c r="N178" s="65">
        <f t="shared" ref="N178:N184" si="8">ROUND(F178*M178,2)</f>
        <v>13.17</v>
      </c>
      <c r="O178" s="56"/>
      <c r="P178" s="56"/>
      <c r="Q178" s="56"/>
      <c r="R178" s="56"/>
      <c r="S178" s="56"/>
      <c r="T178" s="800"/>
      <c r="U178" s="800"/>
      <c r="V178" s="67"/>
      <c r="X178" s="64"/>
      <c r="Y178" s="64"/>
      <c r="AD178" s="64"/>
    </row>
    <row r="179" spans="1:30" s="51" customFormat="1" ht="13.8">
      <c r="A179" s="755" t="s">
        <v>14</v>
      </c>
      <c r="B179" s="755"/>
      <c r="C179" s="755"/>
      <c r="D179" s="755"/>
      <c r="E179" s="755"/>
      <c r="F179" s="568">
        <f>'BANCO DE DADOS'!E23</f>
        <v>7.82</v>
      </c>
      <c r="G179" s="568"/>
      <c r="H179" s="397">
        <f>4/12</f>
        <v>0.33333333333333331</v>
      </c>
      <c r="I179" s="814">
        <f t="shared" si="6"/>
        <v>2.61</v>
      </c>
      <c r="J179" s="815"/>
      <c r="K179" s="66">
        <f>3/12</f>
        <v>0.25</v>
      </c>
      <c r="L179" s="314">
        <f t="shared" si="7"/>
        <v>1.96</v>
      </c>
      <c r="M179" s="66">
        <f>4/12</f>
        <v>0.33333333333333331</v>
      </c>
      <c r="N179" s="65">
        <f t="shared" si="8"/>
        <v>2.61</v>
      </c>
      <c r="O179" s="56"/>
      <c r="P179" s="56"/>
      <c r="Q179" s="56"/>
      <c r="R179" s="56"/>
      <c r="S179" s="56"/>
      <c r="T179" s="800"/>
      <c r="U179" s="800"/>
      <c r="V179" s="67"/>
      <c r="X179" s="64"/>
      <c r="Y179" s="64"/>
      <c r="AD179" s="64"/>
    </row>
    <row r="180" spans="1:30" s="51" customFormat="1" ht="13.8">
      <c r="A180" s="755" t="s">
        <v>31</v>
      </c>
      <c r="B180" s="755"/>
      <c r="C180" s="755"/>
      <c r="D180" s="755"/>
      <c r="E180" s="755"/>
      <c r="F180" s="568">
        <f>'BANCO DE DADOS'!E24</f>
        <v>22</v>
      </c>
      <c r="G180" s="568"/>
      <c r="H180" s="397">
        <f>8/12</f>
        <v>0.66666666666666663</v>
      </c>
      <c r="I180" s="814">
        <f t="shared" si="6"/>
        <v>14.67</v>
      </c>
      <c r="J180" s="815"/>
      <c r="K180" s="66">
        <f>6/12</f>
        <v>0.5</v>
      </c>
      <c r="L180" s="314">
        <f t="shared" si="7"/>
        <v>11</v>
      </c>
      <c r="M180" s="66">
        <f>4/12</f>
        <v>0.33333333333333331</v>
      </c>
      <c r="N180" s="65">
        <f t="shared" si="8"/>
        <v>7.33</v>
      </c>
      <c r="O180" s="56"/>
      <c r="P180" s="56"/>
      <c r="Q180" s="56"/>
      <c r="R180" s="56"/>
      <c r="S180" s="56"/>
      <c r="T180" s="800"/>
      <c r="U180" s="800"/>
      <c r="V180" s="67"/>
      <c r="X180" s="64"/>
      <c r="Y180" s="64"/>
      <c r="AD180" s="64"/>
    </row>
    <row r="181" spans="1:30" s="51" customFormat="1" ht="13.8">
      <c r="A181" s="755" t="s">
        <v>15</v>
      </c>
      <c r="B181" s="755"/>
      <c r="C181" s="755"/>
      <c r="D181" s="755"/>
      <c r="E181" s="755"/>
      <c r="F181" s="568">
        <f>'BANCO DE DADOS'!E29</f>
        <v>7.58</v>
      </c>
      <c r="G181" s="568"/>
      <c r="H181" s="397">
        <f>12/12</f>
        <v>1</v>
      </c>
      <c r="I181" s="814">
        <f t="shared" si="6"/>
        <v>7.58</v>
      </c>
      <c r="J181" s="815"/>
      <c r="K181" s="66">
        <f>4/12</f>
        <v>0.33333333333333331</v>
      </c>
      <c r="L181" s="314">
        <f t="shared" si="7"/>
        <v>2.5299999999999998</v>
      </c>
      <c r="M181" s="66">
        <v>0</v>
      </c>
      <c r="N181" s="65">
        <f t="shared" si="8"/>
        <v>0</v>
      </c>
      <c r="O181" s="56"/>
      <c r="P181" s="56"/>
      <c r="Q181" s="56"/>
      <c r="R181" s="56"/>
      <c r="S181" s="56"/>
      <c r="T181" s="800"/>
      <c r="U181" s="800"/>
      <c r="V181" s="67"/>
      <c r="X181" s="64"/>
      <c r="Y181" s="64"/>
      <c r="AD181" s="64"/>
    </row>
    <row r="182" spans="1:30" s="51" customFormat="1" ht="13.8">
      <c r="A182" s="755" t="s">
        <v>246</v>
      </c>
      <c r="B182" s="755"/>
      <c r="C182" s="755"/>
      <c r="D182" s="755"/>
      <c r="E182" s="755"/>
      <c r="F182" s="568">
        <f>'BANCO DE DADOS'!E25</f>
        <v>42.3</v>
      </c>
      <c r="G182" s="568"/>
      <c r="H182" s="397">
        <f>6/12</f>
        <v>0.5</v>
      </c>
      <c r="I182" s="814">
        <f t="shared" si="6"/>
        <v>21.15</v>
      </c>
      <c r="J182" s="815"/>
      <c r="K182" s="66">
        <f>3/12</f>
        <v>0.25</v>
      </c>
      <c r="L182" s="314">
        <f t="shared" si="7"/>
        <v>10.58</v>
      </c>
      <c r="M182" s="66">
        <f>3/12</f>
        <v>0.25</v>
      </c>
      <c r="N182" s="65">
        <f t="shared" si="8"/>
        <v>10.58</v>
      </c>
      <c r="O182" s="56"/>
      <c r="P182" s="56"/>
      <c r="Q182" s="56"/>
      <c r="R182" s="56"/>
      <c r="S182" s="56"/>
      <c r="T182" s="800"/>
      <c r="U182" s="800"/>
      <c r="V182" s="67"/>
      <c r="X182" s="64"/>
      <c r="Y182" s="64"/>
      <c r="AD182" s="64"/>
    </row>
    <row r="183" spans="1:30" s="51" customFormat="1" ht="13.8">
      <c r="A183" s="755" t="s">
        <v>289</v>
      </c>
      <c r="B183" s="755"/>
      <c r="C183" s="755"/>
      <c r="D183" s="755"/>
      <c r="E183" s="755"/>
      <c r="F183" s="568">
        <f>'BANCO DE DADOS'!E30</f>
        <v>16.850000000000001</v>
      </c>
      <c r="G183" s="568"/>
      <c r="H183" s="397">
        <f>12/12</f>
        <v>1</v>
      </c>
      <c r="I183" s="814">
        <f t="shared" si="6"/>
        <v>16.850000000000001</v>
      </c>
      <c r="J183" s="815"/>
      <c r="K183" s="66">
        <f>2/12</f>
        <v>0.16666666666666666</v>
      </c>
      <c r="L183" s="314">
        <f t="shared" si="7"/>
        <v>2.81</v>
      </c>
      <c r="M183" s="66">
        <f>6/12</f>
        <v>0.5</v>
      </c>
      <c r="N183" s="65">
        <f t="shared" si="8"/>
        <v>8.43</v>
      </c>
      <c r="O183" s="56"/>
      <c r="P183" s="56"/>
      <c r="Q183" s="56"/>
      <c r="R183" s="56"/>
      <c r="S183" s="56"/>
      <c r="T183" s="800"/>
      <c r="U183" s="800"/>
      <c r="V183" s="67"/>
      <c r="X183" s="64"/>
      <c r="Y183" s="64"/>
      <c r="AD183" s="64"/>
    </row>
    <row r="184" spans="1:30" s="51" customFormat="1" ht="15" customHeight="1">
      <c r="A184" s="755" t="s">
        <v>370</v>
      </c>
      <c r="B184" s="755"/>
      <c r="C184" s="755"/>
      <c r="D184" s="755"/>
      <c r="E184" s="755"/>
      <c r="F184" s="568">
        <f>'BANCO DE DADOS'!E26</f>
        <v>21.5</v>
      </c>
      <c r="G184" s="568"/>
      <c r="H184" s="397">
        <f>3/12</f>
        <v>0.25</v>
      </c>
      <c r="I184" s="814">
        <f t="shared" si="6"/>
        <v>5.38</v>
      </c>
      <c r="J184" s="815"/>
      <c r="K184" s="66">
        <f>3/12</f>
        <v>0.25</v>
      </c>
      <c r="L184" s="314">
        <f t="shared" si="7"/>
        <v>5.38</v>
      </c>
      <c r="M184" s="66">
        <f>1/12</f>
        <v>8.3333333333333329E-2</v>
      </c>
      <c r="N184" s="65">
        <f t="shared" si="8"/>
        <v>1.79</v>
      </c>
      <c r="O184" s="56"/>
      <c r="P184" s="56"/>
      <c r="Q184" s="56"/>
      <c r="R184" s="56"/>
      <c r="S184" s="56"/>
      <c r="T184" s="800"/>
      <c r="U184" s="800"/>
      <c r="V184" s="67"/>
      <c r="X184" s="64"/>
      <c r="Y184" s="64"/>
      <c r="AD184" s="64"/>
    </row>
    <row r="185" spans="1:30" s="51" customFormat="1" ht="13.8">
      <c r="A185" s="783" t="s">
        <v>34</v>
      </c>
      <c r="B185" s="783"/>
      <c r="C185" s="783"/>
      <c r="D185" s="783"/>
      <c r="E185" s="783"/>
      <c r="F185" s="568"/>
      <c r="G185" s="568"/>
      <c r="H185" s="398"/>
      <c r="I185" s="816">
        <f>SUM(I178:J184)</f>
        <v>94.59</v>
      </c>
      <c r="J185" s="817"/>
      <c r="K185" s="68" t="s">
        <v>35</v>
      </c>
      <c r="L185" s="69">
        <f>SUM(L178:L184)</f>
        <v>54.02</v>
      </c>
      <c r="M185" s="68" t="s">
        <v>35</v>
      </c>
      <c r="N185" s="70">
        <f>SUM(N178:N184)</f>
        <v>43.91</v>
      </c>
      <c r="O185" s="56"/>
      <c r="P185" s="56"/>
      <c r="Q185" s="56"/>
      <c r="R185" s="56"/>
      <c r="S185" s="56"/>
      <c r="T185" s="800"/>
      <c r="U185" s="800"/>
      <c r="V185" s="67"/>
      <c r="X185" s="64"/>
      <c r="Y185" s="64"/>
      <c r="AD185" s="64"/>
    </row>
    <row r="186" spans="1:30" s="51" customFormat="1" ht="13.8">
      <c r="A186" s="43"/>
      <c r="B186" s="44"/>
      <c r="C186" s="45"/>
      <c r="D186" s="46"/>
      <c r="E186" s="45"/>
      <c r="F186" s="46"/>
      <c r="G186" s="46"/>
      <c r="H186" s="46"/>
      <c r="I186" s="46"/>
      <c r="J186" s="46"/>
      <c r="K186" s="46"/>
      <c r="L186" s="46"/>
      <c r="M186" s="46"/>
      <c r="N186" s="46"/>
      <c r="O186" s="46"/>
      <c r="P186" s="46"/>
      <c r="Q186" s="46"/>
      <c r="R186" s="73"/>
      <c r="S186" s="46"/>
      <c r="T186" s="72"/>
      <c r="U186" s="72"/>
      <c r="V186" s="72"/>
      <c r="X186" s="64"/>
      <c r="Y186" s="64"/>
      <c r="AD186" s="64"/>
    </row>
    <row r="187" spans="1:30" s="51" customFormat="1" ht="24.75" customHeight="1">
      <c r="A187" s="738" t="s">
        <v>160</v>
      </c>
      <c r="B187" s="739"/>
      <c r="C187" s="739"/>
      <c r="D187" s="739"/>
      <c r="E187" s="739"/>
      <c r="F187" s="739"/>
      <c r="G187" s="739"/>
      <c r="H187" s="739"/>
      <c r="I187" s="739"/>
      <c r="J187" s="739"/>
      <c r="K187" s="739"/>
      <c r="L187" s="739"/>
      <c r="M187" s="739"/>
      <c r="N187" s="739"/>
      <c r="O187" s="739"/>
      <c r="P187" s="739"/>
      <c r="Q187" s="739"/>
      <c r="R187" s="739"/>
      <c r="S187" s="739"/>
      <c r="T187" s="72"/>
      <c r="U187" s="72"/>
      <c r="V187" s="72"/>
      <c r="X187" s="64"/>
      <c r="Y187" s="64"/>
      <c r="AD187" s="64"/>
    </row>
    <row r="188" spans="1:30" s="51" customFormat="1" ht="13.8">
      <c r="A188" s="46"/>
      <c r="B188" s="44"/>
      <c r="C188" s="45"/>
      <c r="D188" s="46"/>
      <c r="E188" s="45"/>
      <c r="F188" s="46"/>
      <c r="G188" s="46"/>
      <c r="H188" s="46"/>
      <c r="I188" s="46"/>
      <c r="J188" s="46"/>
      <c r="K188" s="46"/>
      <c r="L188" s="46"/>
      <c r="M188" s="46"/>
      <c r="N188" s="46"/>
      <c r="O188" s="46"/>
      <c r="P188" s="46"/>
      <c r="Q188" s="46"/>
      <c r="R188" s="73"/>
      <c r="S188" s="46"/>
      <c r="T188" s="72"/>
      <c r="U188" s="72"/>
      <c r="V188" s="72"/>
      <c r="X188" s="64"/>
      <c r="Y188" s="64"/>
      <c r="AD188" s="64"/>
    </row>
    <row r="189" spans="1:30" ht="16.5" customHeight="1">
      <c r="A189" s="32" t="s">
        <v>138</v>
      </c>
      <c r="B189" s="33"/>
      <c r="C189" s="33"/>
      <c r="D189" s="33"/>
      <c r="E189" s="33"/>
      <c r="F189" s="33"/>
      <c r="G189" s="33"/>
      <c r="H189" s="33"/>
      <c r="I189" s="30"/>
      <c r="J189" s="30"/>
      <c r="K189" s="30"/>
      <c r="L189" s="30"/>
      <c r="M189" s="30"/>
      <c r="N189" s="30"/>
      <c r="O189" s="30"/>
      <c r="P189" s="30"/>
      <c r="Q189" s="30"/>
      <c r="R189" s="30"/>
      <c r="S189" s="30"/>
      <c r="T189" s="18"/>
      <c r="U189" s="18"/>
      <c r="V189" s="18"/>
    </row>
    <row r="190" spans="1:30" ht="16.5" customHeight="1">
      <c r="A190" s="32" t="s">
        <v>291</v>
      </c>
      <c r="B190" s="810">
        <v>1500</v>
      </c>
      <c r="C190" s="810"/>
      <c r="D190" s="810"/>
      <c r="E190" s="34"/>
      <c r="F190" s="34"/>
      <c r="G190" s="34"/>
      <c r="H190" s="33"/>
      <c r="I190" s="30"/>
      <c r="J190" s="30"/>
      <c r="K190" s="30"/>
      <c r="L190" s="30"/>
      <c r="M190" s="30"/>
      <c r="N190" s="30"/>
      <c r="O190" s="30"/>
      <c r="P190" s="30"/>
      <c r="Q190" s="30"/>
      <c r="R190" s="30"/>
      <c r="S190" s="30"/>
      <c r="T190" s="18"/>
      <c r="U190" s="18"/>
      <c r="V190" s="18"/>
    </row>
    <row r="191" spans="1:30" ht="16.5" customHeight="1">
      <c r="A191" s="32" t="s">
        <v>139</v>
      </c>
      <c r="B191" s="401"/>
      <c r="C191" s="319"/>
      <c r="D191" s="380" t="s">
        <v>458</v>
      </c>
      <c r="E191" s="319"/>
      <c r="F191" s="319"/>
      <c r="G191" s="319"/>
      <c r="H191" s="33"/>
      <c r="I191" s="28" t="s">
        <v>155</v>
      </c>
      <c r="J191" s="30"/>
      <c r="K191" s="30"/>
      <c r="L191" s="30"/>
      <c r="M191" s="30"/>
      <c r="N191" s="30"/>
      <c r="O191" s="30"/>
      <c r="P191" s="30"/>
      <c r="Q191" s="30"/>
      <c r="R191" s="30"/>
      <c r="S191" s="30"/>
      <c r="T191" s="18"/>
      <c r="U191" s="18"/>
      <c r="V191" s="18"/>
    </row>
    <row r="192" spans="1:30" ht="16.5" customHeight="1">
      <c r="A192" s="32" t="s">
        <v>140</v>
      </c>
      <c r="B192" s="401"/>
      <c r="C192" s="379"/>
      <c r="D192" s="381" t="s">
        <v>466</v>
      </c>
      <c r="E192" s="379"/>
      <c r="F192" s="379"/>
      <c r="G192" s="379"/>
      <c r="H192" s="33"/>
      <c r="I192" s="41" t="s">
        <v>156</v>
      </c>
      <c r="J192" s="30"/>
      <c r="K192" s="30"/>
      <c r="L192" s="30"/>
      <c r="M192" s="30"/>
      <c r="N192" s="30"/>
      <c r="O192" s="30"/>
      <c r="P192" s="30"/>
      <c r="Q192" s="30"/>
      <c r="R192" s="30"/>
      <c r="S192" s="30"/>
      <c r="T192" s="18"/>
      <c r="U192" s="18"/>
      <c r="V192" s="18"/>
    </row>
    <row r="193" spans="1:30" ht="16.5" customHeight="1">
      <c r="A193" s="32"/>
      <c r="B193" s="401"/>
      <c r="C193" s="379"/>
      <c r="D193" s="381" t="s">
        <v>141</v>
      </c>
      <c r="E193" s="379"/>
      <c r="F193" s="379"/>
      <c r="G193" s="379"/>
      <c r="H193" s="33"/>
      <c r="I193" s="40" t="s">
        <v>153</v>
      </c>
      <c r="J193" s="30"/>
      <c r="K193" s="30"/>
      <c r="L193" s="30"/>
      <c r="M193" s="30"/>
      <c r="N193" s="30"/>
      <c r="O193" s="30"/>
      <c r="P193" s="30"/>
      <c r="Q193" s="30"/>
      <c r="R193" s="30"/>
      <c r="S193" s="30"/>
      <c r="T193" s="18"/>
      <c r="U193" s="18"/>
      <c r="V193" s="18"/>
    </row>
    <row r="194" spans="1:30" ht="15.75" customHeight="1">
      <c r="A194" s="32" t="s">
        <v>142</v>
      </c>
      <c r="B194" s="401"/>
      <c r="C194" s="317"/>
      <c r="D194" s="382" t="s">
        <v>143</v>
      </c>
      <c r="E194" s="317"/>
      <c r="F194" s="317"/>
      <c r="G194" s="317"/>
      <c r="H194" s="35"/>
      <c r="I194" s="19"/>
      <c r="J194" s="19"/>
      <c r="K194" s="19"/>
      <c r="L194" s="19"/>
      <c r="M194" s="19"/>
      <c r="N194" s="19"/>
      <c r="O194" s="19"/>
      <c r="P194" s="19"/>
      <c r="Q194" s="19"/>
      <c r="R194" s="20"/>
      <c r="S194" s="19"/>
      <c r="T194" s="18"/>
      <c r="U194" s="18"/>
      <c r="V194" s="18"/>
      <c r="X194" s="16"/>
      <c r="Y194" s="16"/>
      <c r="AD194" s="16"/>
    </row>
    <row r="195" spans="1:30" ht="15.6">
      <c r="A195" s="32"/>
      <c r="B195" s="36"/>
      <c r="C195" s="36"/>
      <c r="D195" s="36"/>
      <c r="E195" s="36"/>
      <c r="F195" s="36"/>
      <c r="G195" s="36"/>
      <c r="H195" s="35"/>
      <c r="I195" s="19"/>
      <c r="J195" s="19"/>
      <c r="K195" s="19"/>
      <c r="L195" s="19"/>
      <c r="M195" s="19"/>
      <c r="N195" s="19"/>
      <c r="O195" s="19"/>
      <c r="P195" s="19"/>
      <c r="Q195" s="19"/>
      <c r="R195" s="20"/>
      <c r="S195" s="19"/>
      <c r="T195" s="18"/>
      <c r="U195" s="18"/>
      <c r="V195" s="18"/>
      <c r="X195" s="16"/>
      <c r="Y195" s="16"/>
      <c r="AD195" s="16"/>
    </row>
    <row r="196" spans="1:30" ht="15.6">
      <c r="A196" s="28"/>
      <c r="B196" s="31"/>
      <c r="C196" s="31"/>
      <c r="D196" s="31"/>
      <c r="E196" s="31"/>
      <c r="F196" s="31"/>
      <c r="G196" s="31"/>
      <c r="H196" s="19"/>
      <c r="I196" s="19"/>
      <c r="J196" s="19"/>
      <c r="K196" s="19"/>
      <c r="L196" s="19"/>
      <c r="M196" s="19"/>
      <c r="N196" s="19"/>
      <c r="O196" s="19"/>
      <c r="P196" s="19"/>
      <c r="Q196" s="19"/>
      <c r="R196" s="20"/>
      <c r="S196" s="19"/>
      <c r="T196" s="18"/>
      <c r="U196" s="18"/>
      <c r="V196" s="18"/>
      <c r="X196" s="16"/>
      <c r="Y196" s="16"/>
      <c r="AD196" s="16"/>
    </row>
    <row r="197" spans="1:30" ht="15.6">
      <c r="A197" s="28" t="s">
        <v>148</v>
      </c>
      <c r="B197" s="31"/>
      <c r="C197" s="31"/>
      <c r="D197" s="31"/>
      <c r="E197" s="31"/>
      <c r="F197" s="31"/>
      <c r="G197" s="31"/>
      <c r="H197" s="19"/>
      <c r="I197" s="779" t="s">
        <v>145</v>
      </c>
      <c r="J197" s="779"/>
      <c r="K197" s="779"/>
      <c r="L197" s="406">
        <v>2</v>
      </c>
      <c r="M197" s="19"/>
      <c r="N197" s="19"/>
      <c r="O197" s="19"/>
      <c r="P197" s="19"/>
      <c r="Q197" s="19"/>
      <c r="R197" s="20"/>
      <c r="S197" s="19"/>
      <c r="T197" s="18"/>
      <c r="U197" s="18"/>
      <c r="V197" s="18"/>
      <c r="X197" s="16"/>
      <c r="Y197" s="16"/>
      <c r="AD197" s="16"/>
    </row>
    <row r="198" spans="1:30" ht="15.6">
      <c r="A198" s="318" t="s">
        <v>144</v>
      </c>
      <c r="C198" s="31"/>
      <c r="D198" s="37">
        <v>0.9</v>
      </c>
      <c r="E198" s="802">
        <f>D198*B190</f>
        <v>1350</v>
      </c>
      <c r="F198" s="802"/>
      <c r="G198" s="802"/>
      <c r="H198" s="19"/>
      <c r="I198" s="779" t="s">
        <v>146</v>
      </c>
      <c r="J198" s="779"/>
      <c r="K198" s="779"/>
      <c r="L198" s="406">
        <v>8</v>
      </c>
      <c r="M198" s="19"/>
      <c r="N198" s="19"/>
      <c r="O198" s="19"/>
      <c r="P198" s="19"/>
      <c r="Q198" s="19"/>
      <c r="R198" s="20"/>
      <c r="S198" s="19"/>
      <c r="T198" s="18"/>
      <c r="U198" s="18"/>
      <c r="V198" s="18"/>
      <c r="X198" s="16"/>
      <c r="Y198" s="16"/>
      <c r="AD198" s="16"/>
    </row>
    <row r="199" spans="1:30" ht="15.6">
      <c r="A199" s="318" t="s">
        <v>149</v>
      </c>
      <c r="C199" s="31"/>
      <c r="D199" s="37">
        <v>0.1</v>
      </c>
      <c r="E199" s="802">
        <f>D199*B190</f>
        <v>150</v>
      </c>
      <c r="F199" s="802"/>
      <c r="G199" s="802"/>
      <c r="H199" s="19"/>
      <c r="I199" s="779" t="s">
        <v>147</v>
      </c>
      <c r="J199" s="779"/>
      <c r="K199" s="779"/>
      <c r="L199" s="406">
        <v>26</v>
      </c>
      <c r="M199" s="19"/>
      <c r="N199" s="19"/>
      <c r="O199" s="19"/>
      <c r="P199" s="19"/>
      <c r="Q199" s="19"/>
      <c r="R199" s="20"/>
      <c r="S199" s="19"/>
      <c r="T199" s="18"/>
      <c r="U199" s="18"/>
      <c r="V199" s="18"/>
      <c r="X199" s="16"/>
      <c r="Y199" s="16"/>
      <c r="AD199" s="16"/>
    </row>
    <row r="200" spans="1:30" ht="15.6">
      <c r="A200" s="28"/>
      <c r="B200" s="31"/>
      <c r="C200" s="31"/>
      <c r="D200" s="31"/>
      <c r="E200" s="31"/>
      <c r="F200" s="31"/>
      <c r="G200" s="31"/>
      <c r="H200" s="19"/>
      <c r="I200" s="19"/>
      <c r="J200" s="19"/>
      <c r="K200" s="19"/>
      <c r="L200" s="19"/>
      <c r="M200" s="19"/>
      <c r="N200" s="19"/>
      <c r="O200" s="19"/>
      <c r="P200" s="19"/>
      <c r="Q200" s="19"/>
      <c r="R200" s="20"/>
      <c r="S200" s="19"/>
      <c r="T200" s="18"/>
      <c r="U200" s="18"/>
      <c r="V200" s="18"/>
      <c r="X200" s="16"/>
      <c r="Y200" s="16"/>
      <c r="AD200" s="16"/>
    </row>
    <row r="201" spans="1:30" ht="15.6">
      <c r="A201" s="780" t="s">
        <v>150</v>
      </c>
      <c r="B201" s="781"/>
      <c r="C201" s="782"/>
      <c r="D201" s="402">
        <f>ROUNDUP(E198/L199/L197/L198,0)</f>
        <v>4</v>
      </c>
      <c r="E201" s="403" t="s">
        <v>157</v>
      </c>
      <c r="F201" s="31"/>
      <c r="I201" s="705" t="s">
        <v>178</v>
      </c>
      <c r="J201" s="706"/>
      <c r="K201" s="706"/>
      <c r="L201" s="706"/>
      <c r="M201" s="706"/>
      <c r="N201" s="706"/>
      <c r="O201" s="706"/>
      <c r="P201" s="707"/>
      <c r="Q201" s="19"/>
      <c r="R201" s="20"/>
      <c r="S201" s="19"/>
      <c r="T201" s="18"/>
      <c r="U201" s="18"/>
      <c r="V201" s="18"/>
      <c r="X201" s="16"/>
      <c r="Y201" s="16"/>
      <c r="AD201" s="16"/>
    </row>
    <row r="202" spans="1:30" ht="15.6">
      <c r="A202" s="780" t="s">
        <v>151</v>
      </c>
      <c r="B202" s="781"/>
      <c r="C202" s="782"/>
      <c r="D202" s="402">
        <f>ROUNDUP(E199/L199/L197/L198,0)</f>
        <v>1</v>
      </c>
      <c r="E202" s="403" t="s">
        <v>158</v>
      </c>
      <c r="F202" s="31"/>
      <c r="I202" s="708" t="s">
        <v>182</v>
      </c>
      <c r="J202" s="709"/>
      <c r="K202" s="709"/>
      <c r="L202" s="709"/>
      <c r="M202" s="709"/>
      <c r="N202" s="709"/>
      <c r="O202" s="709"/>
      <c r="P202" s="710"/>
      <c r="Q202" s="19"/>
      <c r="R202" s="20"/>
      <c r="S202" s="19"/>
      <c r="T202" s="18"/>
      <c r="U202" s="18"/>
      <c r="V202" s="18"/>
      <c r="X202" s="16"/>
      <c r="Y202" s="16"/>
      <c r="AD202" s="16"/>
    </row>
    <row r="203" spans="1:30" ht="15.6">
      <c r="A203" s="780" t="s">
        <v>154</v>
      </c>
      <c r="B203" s="781"/>
      <c r="C203" s="782"/>
      <c r="D203" s="402">
        <f>ROUNDUP((D201+D202)*0.1,0)</f>
        <v>1</v>
      </c>
      <c r="E203" s="403" t="s">
        <v>158</v>
      </c>
      <c r="F203" s="31"/>
      <c r="I203" s="94" t="s">
        <v>179</v>
      </c>
      <c r="J203" s="95"/>
      <c r="K203" s="92"/>
      <c r="L203" s="95"/>
      <c r="M203" s="711">
        <v>26</v>
      </c>
      <c r="N203" s="711"/>
      <c r="O203" s="711"/>
      <c r="P203" s="712"/>
      <c r="Q203" s="19"/>
      <c r="R203" s="20"/>
      <c r="S203" s="19"/>
      <c r="T203" s="18"/>
      <c r="U203" s="18"/>
      <c r="V203" s="18"/>
      <c r="X203" s="16"/>
      <c r="Y203" s="16"/>
      <c r="AD203" s="16"/>
    </row>
    <row r="204" spans="1:30" ht="15.6">
      <c r="A204" s="790" t="s">
        <v>152</v>
      </c>
      <c r="B204" s="791"/>
      <c r="C204" s="792"/>
      <c r="D204" s="404">
        <f>D201+D203</f>
        <v>5</v>
      </c>
      <c r="E204" s="405" t="s">
        <v>157</v>
      </c>
      <c r="F204" s="31"/>
      <c r="I204" s="94" t="s">
        <v>180</v>
      </c>
      <c r="J204" s="95"/>
      <c r="K204" s="92"/>
      <c r="L204" s="95"/>
      <c r="M204" s="696">
        <v>85</v>
      </c>
      <c r="N204" s="696"/>
      <c r="O204" s="696"/>
      <c r="P204" s="697"/>
      <c r="Q204" s="19"/>
      <c r="R204" s="20"/>
      <c r="S204" s="19"/>
      <c r="T204" s="18"/>
      <c r="U204" s="18"/>
      <c r="V204" s="18"/>
      <c r="X204" s="16"/>
      <c r="Y204" s="16"/>
      <c r="AD204" s="16"/>
    </row>
    <row r="205" spans="1:30" ht="15.6">
      <c r="A205" s="332"/>
      <c r="B205" s="31"/>
      <c r="C205" s="31"/>
      <c r="D205" s="31"/>
      <c r="E205" s="31"/>
      <c r="F205" s="31"/>
      <c r="I205" s="94" t="s">
        <v>177</v>
      </c>
      <c r="J205" s="95"/>
      <c r="K205" s="92"/>
      <c r="L205" s="95"/>
      <c r="M205" s="698">
        <f>D204</f>
        <v>5</v>
      </c>
      <c r="N205" s="698"/>
      <c r="O205" s="698"/>
      <c r="P205" s="699"/>
      <c r="Q205" s="19"/>
      <c r="R205" s="20"/>
      <c r="S205" s="19"/>
      <c r="T205" s="18"/>
      <c r="U205" s="18"/>
      <c r="V205" s="18"/>
      <c r="X205" s="16"/>
      <c r="Y205" s="16"/>
      <c r="AD205" s="16"/>
    </row>
    <row r="206" spans="1:30" ht="14.4">
      <c r="A206" s="719" t="s">
        <v>166</v>
      </c>
      <c r="B206" s="719"/>
      <c r="C206" s="719"/>
      <c r="D206" s="719"/>
      <c r="E206" s="719"/>
      <c r="F206" s="719"/>
      <c r="G206" s="719"/>
      <c r="I206" s="96" t="s">
        <v>181</v>
      </c>
      <c r="J206" s="97"/>
      <c r="K206" s="93"/>
      <c r="L206" s="97"/>
      <c r="M206" s="700">
        <f>M204*M203*M205</f>
        <v>11050</v>
      </c>
      <c r="N206" s="700"/>
      <c r="O206" s="700"/>
      <c r="P206" s="701"/>
      <c r="Q206" s="19"/>
      <c r="R206" s="20"/>
      <c r="S206" s="19"/>
      <c r="T206" s="18"/>
      <c r="U206" s="18"/>
      <c r="V206" s="18"/>
      <c r="X206" s="16"/>
      <c r="Y206" s="16"/>
      <c r="AD206" s="16"/>
    </row>
    <row r="207" spans="1:30" ht="15.75" customHeight="1">
      <c r="A207" s="720" t="s">
        <v>175</v>
      </c>
      <c r="B207" s="720"/>
      <c r="C207" s="720"/>
      <c r="D207" s="720"/>
      <c r="E207" s="720"/>
      <c r="F207" s="720"/>
      <c r="G207" s="720"/>
      <c r="H207" s="19"/>
      <c r="I207" s="19"/>
      <c r="J207" s="19"/>
      <c r="K207" s="19"/>
      <c r="L207" s="19"/>
      <c r="M207" s="19"/>
      <c r="N207" s="19"/>
      <c r="O207" s="19"/>
      <c r="P207" s="19"/>
      <c r="Q207" s="19"/>
      <c r="R207" s="20"/>
      <c r="S207" s="19"/>
      <c r="T207" s="18"/>
      <c r="U207" s="18"/>
      <c r="V207" s="18"/>
      <c r="X207" s="16"/>
      <c r="Y207" s="16"/>
      <c r="AD207" s="16"/>
    </row>
    <row r="208" spans="1:30" ht="15.75" customHeight="1">
      <c r="A208" s="692" t="s">
        <v>162</v>
      </c>
      <c r="B208" s="693"/>
      <c r="C208" s="693"/>
      <c r="D208" s="693"/>
      <c r="E208" s="694"/>
      <c r="F208" s="721">
        <f>M206</f>
        <v>11050</v>
      </c>
      <c r="G208" s="721"/>
      <c r="I208" s="648" t="s">
        <v>37</v>
      </c>
      <c r="J208" s="648"/>
      <c r="K208" s="648"/>
      <c r="L208" s="648"/>
      <c r="M208" s="648"/>
      <c r="N208" s="648"/>
      <c r="S208" s="19"/>
      <c r="T208" s="18"/>
      <c r="U208" s="18"/>
      <c r="V208" s="18"/>
      <c r="X208" s="16"/>
      <c r="Y208" s="16"/>
      <c r="AD208" s="16"/>
    </row>
    <row r="209" spans="1:30" ht="14.4">
      <c r="A209" s="692" t="s">
        <v>161</v>
      </c>
      <c r="B209" s="693"/>
      <c r="C209" s="693"/>
      <c r="D209" s="693"/>
      <c r="E209" s="694"/>
      <c r="F209" s="718">
        <v>1.8</v>
      </c>
      <c r="G209" s="718"/>
      <c r="I209" s="658" t="s">
        <v>38</v>
      </c>
      <c r="J209" s="658"/>
      <c r="K209" s="723">
        <f>'BANCO DE DADOS'!E46</f>
        <v>243950</v>
      </c>
      <c r="L209" s="723"/>
      <c r="M209" s="723"/>
      <c r="N209" s="723"/>
      <c r="S209" s="19"/>
      <c r="T209" s="18"/>
      <c r="U209" s="18"/>
      <c r="V209" s="18"/>
      <c r="X209" s="16"/>
      <c r="Y209" s="16"/>
      <c r="AD209" s="16"/>
    </row>
    <row r="210" spans="1:30" ht="14.4">
      <c r="A210" s="692" t="s">
        <v>212</v>
      </c>
      <c r="B210" s="693"/>
      <c r="C210" s="693"/>
      <c r="D210" s="693"/>
      <c r="E210" s="694"/>
      <c r="F210" s="695">
        <f>'BANCO DE DADOS'!$E$61</f>
        <v>3.5993333333333335</v>
      </c>
      <c r="G210" s="695"/>
      <c r="I210" s="658" t="s">
        <v>39</v>
      </c>
      <c r="J210" s="658"/>
      <c r="K210" s="723">
        <f>'BANCO DE DADOS'!E47</f>
        <v>147735</v>
      </c>
      <c r="L210" s="723"/>
      <c r="M210" s="723"/>
      <c r="N210" s="723"/>
      <c r="S210" s="19"/>
      <c r="T210" s="18"/>
      <c r="U210" s="18"/>
      <c r="V210" s="18"/>
      <c r="X210" s="16"/>
      <c r="Y210" s="16"/>
      <c r="AD210" s="16"/>
    </row>
    <row r="211" spans="1:30" ht="14.4">
      <c r="A211" s="692" t="s">
        <v>176</v>
      </c>
      <c r="B211" s="693"/>
      <c r="C211" s="693"/>
      <c r="D211" s="693"/>
      <c r="E211" s="694"/>
      <c r="F211" s="695">
        <f>F210*0.15</f>
        <v>0.53990000000000005</v>
      </c>
      <c r="G211" s="695"/>
      <c r="I211" s="658" t="s">
        <v>174</v>
      </c>
      <c r="J211" s="658"/>
      <c r="K211" s="723">
        <f>'BANCO DE DADOS'!E48</f>
        <v>20000</v>
      </c>
      <c r="L211" s="723"/>
      <c r="M211" s="723"/>
      <c r="N211" s="723"/>
      <c r="S211" s="19"/>
      <c r="T211" s="18"/>
      <c r="U211" s="18"/>
      <c r="V211" s="18"/>
      <c r="X211" s="16"/>
      <c r="Y211" s="16"/>
      <c r="AD211" s="16"/>
    </row>
    <row r="212" spans="1:30" ht="14.4">
      <c r="A212" s="692" t="s">
        <v>595</v>
      </c>
      <c r="B212" s="693"/>
      <c r="C212" s="693"/>
      <c r="D212" s="693"/>
      <c r="E212" s="694"/>
      <c r="F212" s="695">
        <f>SUM(F210:F211)</f>
        <v>4.1392333333333333</v>
      </c>
      <c r="G212" s="695"/>
      <c r="H212" s="19"/>
      <c r="I212" s="648" t="s">
        <v>19</v>
      </c>
      <c r="J212" s="648"/>
      <c r="K212" s="724">
        <f>SUM(K209:L211)</f>
        <v>411685</v>
      </c>
      <c r="L212" s="724"/>
      <c r="M212" s="724"/>
      <c r="N212" s="724"/>
      <c r="S212" s="19"/>
      <c r="T212" s="18"/>
      <c r="U212" s="18"/>
      <c r="V212" s="18"/>
      <c r="X212" s="16"/>
      <c r="Y212" s="16"/>
      <c r="AD212" s="16"/>
    </row>
    <row r="213" spans="1:30" s="51" customFormat="1" ht="18">
      <c r="A213" s="407" t="s">
        <v>183</v>
      </c>
      <c r="B213" s="408"/>
      <c r="C213" s="409"/>
      <c r="D213" s="409"/>
      <c r="E213" s="408"/>
      <c r="F213" s="801">
        <f>F208/F209*F212</f>
        <v>25410.293518518516</v>
      </c>
      <c r="G213" s="801"/>
      <c r="H213" s="86"/>
      <c r="I213" s="46"/>
      <c r="J213" s="46"/>
      <c r="S213" s="46"/>
      <c r="T213" s="72"/>
      <c r="U213" s="72"/>
      <c r="V213" s="72"/>
      <c r="X213" s="64"/>
      <c r="Y213" s="64"/>
      <c r="AD213" s="64"/>
    </row>
    <row r="214" spans="1:30" s="51" customFormat="1" ht="13.8">
      <c r="A214" s="341"/>
      <c r="B214" s="341"/>
      <c r="C214" s="341"/>
      <c r="D214" s="341"/>
      <c r="E214" s="45"/>
      <c r="F214" s="46"/>
      <c r="G214" s="46"/>
      <c r="H214" s="46"/>
      <c r="R214" s="73"/>
      <c r="S214" s="46"/>
      <c r="T214" s="72"/>
      <c r="U214" s="72"/>
      <c r="V214" s="72"/>
      <c r="X214" s="64"/>
      <c r="Y214" s="64"/>
      <c r="AD214" s="64"/>
    </row>
    <row r="215" spans="1:30" s="51" customFormat="1" ht="13.8">
      <c r="A215" s="714" t="s">
        <v>184</v>
      </c>
      <c r="B215" s="714"/>
      <c r="C215" s="714"/>
      <c r="D215" s="714"/>
      <c r="E215" s="714"/>
      <c r="F215" s="714"/>
      <c r="G215" s="714"/>
      <c r="H215" s="714"/>
      <c r="I215" s="714"/>
      <c r="J215" s="714"/>
      <c r="K215" s="714"/>
      <c r="L215" s="714"/>
      <c r="M215" s="714"/>
      <c r="N215" s="714"/>
      <c r="O215" s="714"/>
      <c r="P215" s="714"/>
      <c r="Q215" s="714"/>
      <c r="R215" s="714"/>
      <c r="S215" s="714"/>
      <c r="T215" s="72"/>
      <c r="U215" s="72"/>
      <c r="V215" s="72"/>
      <c r="X215" s="64"/>
      <c r="Y215" s="64"/>
      <c r="AD215" s="64"/>
    </row>
    <row r="216" spans="1:30" s="51" customFormat="1" ht="13.8">
      <c r="A216" s="680" t="s">
        <v>569</v>
      </c>
      <c r="B216" s="680"/>
      <c r="C216" s="680"/>
      <c r="D216" s="680"/>
      <c r="E216" s="680"/>
      <c r="F216" s="680"/>
      <c r="G216" s="680"/>
      <c r="H216" s="680"/>
      <c r="I216" s="715" t="s">
        <v>24</v>
      </c>
      <c r="J216" s="717"/>
      <c r="K216" s="651" t="s">
        <v>36</v>
      </c>
      <c r="L216" s="652"/>
      <c r="M216" s="651" t="s">
        <v>597</v>
      </c>
      <c r="N216" s="652"/>
      <c r="O216" s="680" t="s">
        <v>571</v>
      </c>
      <c r="P216" s="680"/>
      <c r="Q216" s="680" t="s">
        <v>195</v>
      </c>
      <c r="R216" s="680"/>
      <c r="S216" s="680"/>
      <c r="T216" s="72"/>
      <c r="U216" s="72"/>
      <c r="V216" s="72"/>
      <c r="X216" s="64"/>
      <c r="Y216" s="64"/>
      <c r="AD216" s="64"/>
    </row>
    <row r="217" spans="1:30" s="51" customFormat="1" ht="13.8">
      <c r="A217" s="756" t="s">
        <v>596</v>
      </c>
      <c r="B217" s="756"/>
      <c r="C217" s="756"/>
      <c r="D217" s="756"/>
      <c r="E217" s="756"/>
      <c r="F217" s="756"/>
      <c r="G217" s="756"/>
      <c r="H217" s="756"/>
      <c r="I217" s="715" t="s">
        <v>577</v>
      </c>
      <c r="J217" s="717"/>
      <c r="K217" s="651">
        <v>6</v>
      </c>
      <c r="L217" s="652"/>
      <c r="M217" s="759">
        <f>'BANCO DE DADOS'!$E$66</f>
        <v>1520</v>
      </c>
      <c r="N217" s="760"/>
      <c r="O217" s="761">
        <f>M217*K217</f>
        <v>9120</v>
      </c>
      <c r="P217" s="761"/>
      <c r="Q217" s="680"/>
      <c r="R217" s="680"/>
      <c r="S217" s="680"/>
      <c r="T217" s="72"/>
      <c r="U217" s="72"/>
      <c r="V217" s="72"/>
      <c r="X217" s="64"/>
      <c r="Y217" s="64"/>
      <c r="AD217" s="64"/>
    </row>
    <row r="218" spans="1:30" s="51" customFormat="1" ht="13.8">
      <c r="A218" s="756" t="s">
        <v>598</v>
      </c>
      <c r="B218" s="756"/>
      <c r="C218" s="756"/>
      <c r="D218" s="756"/>
      <c r="E218" s="756"/>
      <c r="F218" s="756"/>
      <c r="G218" s="756"/>
      <c r="H218" s="756"/>
      <c r="I218" s="715" t="s">
        <v>577</v>
      </c>
      <c r="J218" s="717"/>
      <c r="K218" s="651">
        <f>K217*K219</f>
        <v>12</v>
      </c>
      <c r="L218" s="652"/>
      <c r="M218" s="759">
        <f>'BANCO DE DADOS'!$E$67</f>
        <v>450</v>
      </c>
      <c r="N218" s="760"/>
      <c r="O218" s="761">
        <f>M218*K218</f>
        <v>5400</v>
      </c>
      <c r="P218" s="761"/>
      <c r="Q218" s="680"/>
      <c r="R218" s="680"/>
      <c r="S218" s="680"/>
      <c r="T218" s="72"/>
      <c r="U218" s="72"/>
      <c r="V218" s="72"/>
      <c r="X218" s="64"/>
      <c r="Y218" s="64"/>
      <c r="AD218" s="64"/>
    </row>
    <row r="219" spans="1:30" s="51" customFormat="1" ht="13.8">
      <c r="A219" s="756" t="s">
        <v>599</v>
      </c>
      <c r="B219" s="756"/>
      <c r="C219" s="756"/>
      <c r="D219" s="756"/>
      <c r="E219" s="756"/>
      <c r="F219" s="756"/>
      <c r="G219" s="756"/>
      <c r="H219" s="756"/>
      <c r="I219" s="715" t="s">
        <v>577</v>
      </c>
      <c r="J219" s="717"/>
      <c r="K219" s="651">
        <v>2</v>
      </c>
      <c r="L219" s="652"/>
      <c r="M219" s="759"/>
      <c r="N219" s="760"/>
      <c r="O219" s="761"/>
      <c r="P219" s="761"/>
      <c r="Q219" s="680"/>
      <c r="R219" s="680"/>
      <c r="S219" s="680"/>
      <c r="T219" s="72"/>
      <c r="U219" s="72"/>
      <c r="V219" s="72"/>
      <c r="X219" s="64"/>
      <c r="Y219" s="64"/>
      <c r="AD219" s="64"/>
    </row>
    <row r="220" spans="1:30" s="51" customFormat="1" ht="13.8">
      <c r="A220" s="756" t="s">
        <v>604</v>
      </c>
      <c r="B220" s="756"/>
      <c r="C220" s="756"/>
      <c r="D220" s="756"/>
      <c r="E220" s="756"/>
      <c r="F220" s="756"/>
      <c r="G220" s="756"/>
      <c r="H220" s="756"/>
      <c r="I220" s="715" t="s">
        <v>600</v>
      </c>
      <c r="J220" s="717"/>
      <c r="K220" s="651">
        <v>36000</v>
      </c>
      <c r="L220" s="652"/>
      <c r="M220" s="759">
        <f>O217+O218</f>
        <v>14520</v>
      </c>
      <c r="N220" s="760"/>
      <c r="O220" s="761">
        <f>M220/K220</f>
        <v>0.40333333333333332</v>
      </c>
      <c r="P220" s="761"/>
      <c r="Q220" s="680"/>
      <c r="R220" s="680"/>
      <c r="S220" s="680"/>
      <c r="T220" s="72"/>
      <c r="U220" s="72"/>
      <c r="V220" s="72"/>
      <c r="X220" s="64"/>
      <c r="Y220" s="64"/>
      <c r="AD220" s="64"/>
    </row>
    <row r="221" spans="1:30" s="51" customFormat="1" ht="13.8">
      <c r="A221" s="756" t="s">
        <v>602</v>
      </c>
      <c r="B221" s="756"/>
      <c r="C221" s="756"/>
      <c r="D221" s="756"/>
      <c r="E221" s="756"/>
      <c r="F221" s="756"/>
      <c r="G221" s="756"/>
      <c r="H221" s="756"/>
      <c r="I221" s="715" t="s">
        <v>601</v>
      </c>
      <c r="J221" s="717"/>
      <c r="K221" s="762">
        <f>M206</f>
        <v>11050</v>
      </c>
      <c r="L221" s="763"/>
      <c r="M221" s="759">
        <f>O220</f>
        <v>0.40333333333333332</v>
      </c>
      <c r="N221" s="760"/>
      <c r="O221" s="761">
        <f>K221*M221</f>
        <v>4456.833333333333</v>
      </c>
      <c r="P221" s="761"/>
      <c r="Q221" s="680"/>
      <c r="R221" s="680"/>
      <c r="S221" s="680"/>
      <c r="T221" s="72"/>
      <c r="U221" s="72"/>
      <c r="V221" s="72"/>
      <c r="X221" s="64"/>
      <c r="Y221" s="64"/>
      <c r="AD221" s="64"/>
    </row>
    <row r="222" spans="1:30" s="51" customFormat="1" ht="18">
      <c r="A222" s="765" t="s">
        <v>603</v>
      </c>
      <c r="B222" s="765"/>
      <c r="C222" s="765"/>
      <c r="D222" s="765"/>
      <c r="E222" s="765"/>
      <c r="F222" s="765"/>
      <c r="G222" s="765"/>
      <c r="H222" s="765"/>
      <c r="I222" s="765"/>
      <c r="J222" s="765"/>
      <c r="K222" s="765"/>
      <c r="L222" s="765"/>
      <c r="M222" s="765"/>
      <c r="N222" s="765"/>
      <c r="O222" s="765"/>
      <c r="P222" s="765"/>
      <c r="Q222" s="818">
        <f>O221</f>
        <v>4456.833333333333</v>
      </c>
      <c r="R222" s="818"/>
      <c r="S222" s="818"/>
      <c r="T222" s="72"/>
      <c r="U222" s="72"/>
      <c r="V222" s="72"/>
      <c r="X222" s="64"/>
      <c r="Y222" s="64"/>
      <c r="AD222" s="64"/>
    </row>
    <row r="223" spans="1:30" s="51" customFormat="1" ht="13.8">
      <c r="G223" s="81"/>
      <c r="H223" s="81"/>
      <c r="I223" s="46"/>
      <c r="J223" s="46"/>
      <c r="K223" s="46"/>
      <c r="L223" s="46"/>
      <c r="M223" s="46"/>
      <c r="N223" s="46"/>
      <c r="O223" s="46"/>
      <c r="P223" s="46"/>
      <c r="Q223" s="46"/>
      <c r="R223" s="73"/>
      <c r="S223" s="46"/>
      <c r="T223" s="72"/>
      <c r="U223" s="72"/>
      <c r="V223" s="72"/>
      <c r="X223" s="64"/>
      <c r="Y223" s="64"/>
      <c r="AD223" s="64"/>
    </row>
    <row r="224" spans="1:30" s="51" customFormat="1" ht="13.8">
      <c r="A224" s="714" t="s">
        <v>163</v>
      </c>
      <c r="B224" s="714"/>
      <c r="C224" s="714"/>
      <c r="D224" s="714"/>
      <c r="E224" s="714"/>
      <c r="F224" s="714"/>
      <c r="G224" s="714"/>
      <c r="H224" s="714"/>
      <c r="I224" s="714"/>
      <c r="J224" s="714"/>
      <c r="K224" s="714"/>
      <c r="L224" s="714"/>
      <c r="M224" s="714"/>
      <c r="N224" s="714"/>
      <c r="O224" s="714"/>
      <c r="P224" s="714"/>
      <c r="Q224" s="714"/>
      <c r="R224" s="714"/>
      <c r="S224" s="714"/>
      <c r="T224" s="72"/>
      <c r="U224" s="72"/>
      <c r="V224" s="72"/>
      <c r="X224" s="64"/>
      <c r="Y224" s="64"/>
      <c r="AD224" s="64"/>
    </row>
    <row r="225" spans="1:30" s="51" customFormat="1" ht="13.8">
      <c r="A225" s="756" t="s">
        <v>10</v>
      </c>
      <c r="B225" s="756"/>
      <c r="C225" s="756"/>
      <c r="D225" s="756"/>
      <c r="E225" s="766">
        <v>0.8</v>
      </c>
      <c r="F225" s="766"/>
      <c r="G225" s="46"/>
      <c r="H225" s="767" t="s">
        <v>605</v>
      </c>
      <c r="I225" s="767"/>
      <c r="J225" s="767"/>
      <c r="K225" s="767"/>
      <c r="L225" s="767"/>
      <c r="M225" s="767"/>
      <c r="N225" s="767"/>
      <c r="O225" s="767"/>
      <c r="P225" s="767"/>
      <c r="Q225" s="767"/>
      <c r="R225" s="73"/>
      <c r="S225" s="46"/>
      <c r="T225" s="72"/>
      <c r="U225" s="72"/>
      <c r="V225" s="72"/>
      <c r="X225" s="64"/>
      <c r="Y225" s="64"/>
      <c r="AD225" s="64"/>
    </row>
    <row r="226" spans="1:30" s="51" customFormat="1" ht="13.8">
      <c r="A226" s="756" t="s">
        <v>164</v>
      </c>
      <c r="B226" s="756"/>
      <c r="C226" s="756"/>
      <c r="D226" s="756"/>
      <c r="E226" s="761">
        <f>K212</f>
        <v>411685</v>
      </c>
      <c r="F226" s="761"/>
      <c r="G226" s="46"/>
      <c r="H226" s="767" t="s">
        <v>185</v>
      </c>
      <c r="I226" s="767"/>
      <c r="J226" s="99" t="s">
        <v>290</v>
      </c>
      <c r="K226" s="767" t="s">
        <v>186</v>
      </c>
      <c r="L226" s="767"/>
      <c r="M226" s="767"/>
      <c r="N226" s="767" t="s">
        <v>187</v>
      </c>
      <c r="O226" s="767"/>
      <c r="P226" s="767"/>
      <c r="Q226" s="767"/>
      <c r="R226" s="73"/>
      <c r="S226" s="46"/>
      <c r="T226" s="72"/>
      <c r="U226" s="72"/>
      <c r="V226" s="72"/>
      <c r="X226" s="64"/>
      <c r="Y226" s="64"/>
      <c r="AD226" s="64"/>
    </row>
    <row r="227" spans="1:30" s="51" customFormat="1" ht="13.8">
      <c r="A227" s="756" t="s">
        <v>165</v>
      </c>
      <c r="B227" s="756"/>
      <c r="C227" s="756"/>
      <c r="D227" s="756"/>
      <c r="E227" s="680">
        <v>60</v>
      </c>
      <c r="F227" s="680"/>
      <c r="G227" s="46"/>
      <c r="H227" s="757" t="s">
        <v>188</v>
      </c>
      <c r="I227" s="758"/>
      <c r="J227" s="101">
        <f>D201</f>
        <v>4</v>
      </c>
      <c r="K227" s="768">
        <f>E228</f>
        <v>5489.1333333333332</v>
      </c>
      <c r="L227" s="768"/>
      <c r="M227" s="768"/>
      <c r="N227" s="768">
        <f>J227*K227</f>
        <v>21956.533333333333</v>
      </c>
      <c r="O227" s="768"/>
      <c r="P227" s="768"/>
      <c r="Q227" s="768"/>
      <c r="R227" s="73"/>
      <c r="S227" s="46"/>
      <c r="T227" s="72"/>
      <c r="U227" s="72"/>
      <c r="V227" s="72"/>
      <c r="X227" s="64"/>
      <c r="Y227" s="64"/>
      <c r="AD227" s="64"/>
    </row>
    <row r="228" spans="1:30" s="51" customFormat="1" ht="13.8">
      <c r="A228" s="756" t="s">
        <v>191</v>
      </c>
      <c r="B228" s="756"/>
      <c r="C228" s="756"/>
      <c r="D228" s="756"/>
      <c r="E228" s="761">
        <f>E226*E225/E227</f>
        <v>5489.1333333333332</v>
      </c>
      <c r="F228" s="761"/>
      <c r="G228" s="46"/>
      <c r="H228" s="100" t="s">
        <v>189</v>
      </c>
      <c r="I228" s="100"/>
      <c r="J228" s="101">
        <v>1</v>
      </c>
      <c r="K228" s="768">
        <f>E228</f>
        <v>5489.1333333333332</v>
      </c>
      <c r="L228" s="768"/>
      <c r="M228" s="768"/>
      <c r="N228" s="768">
        <f>J228*K228</f>
        <v>5489.1333333333332</v>
      </c>
      <c r="O228" s="768"/>
      <c r="P228" s="768"/>
      <c r="Q228" s="768"/>
      <c r="R228" s="73"/>
      <c r="S228" s="46"/>
      <c r="T228" s="72"/>
      <c r="U228" s="72"/>
      <c r="V228" s="72"/>
      <c r="X228" s="64"/>
      <c r="Y228" s="64"/>
      <c r="AD228" s="64"/>
    </row>
    <row r="229" spans="1:30" s="51" customFormat="1" ht="13.8">
      <c r="F229" s="46"/>
      <c r="G229" s="46"/>
      <c r="H229" s="769" t="s">
        <v>190</v>
      </c>
      <c r="I229" s="770"/>
      <c r="J229" s="770"/>
      <c r="K229" s="770"/>
      <c r="L229" s="770"/>
      <c r="M229" s="771"/>
      <c r="N229" s="803">
        <f>SUM(N227:Q228)</f>
        <v>27445.666666666664</v>
      </c>
      <c r="O229" s="803"/>
      <c r="P229" s="803"/>
      <c r="Q229" s="803"/>
      <c r="R229" s="73"/>
      <c r="S229" s="46"/>
      <c r="T229" s="72"/>
      <c r="U229" s="72"/>
      <c r="V229" s="72"/>
      <c r="X229" s="64"/>
      <c r="Y229" s="64"/>
      <c r="AD229" s="64"/>
    </row>
    <row r="230" spans="1:30" s="51" customFormat="1" ht="13.8">
      <c r="A230" s="75"/>
      <c r="B230" s="76"/>
      <c r="C230" s="76"/>
      <c r="D230" s="76"/>
      <c r="E230" s="76"/>
      <c r="F230" s="76"/>
      <c r="G230" s="76"/>
      <c r="H230" s="46"/>
      <c r="I230" s="46"/>
      <c r="J230" s="46"/>
      <c r="K230" s="46"/>
      <c r="L230" s="46"/>
      <c r="M230" s="46"/>
      <c r="N230" s="46"/>
      <c r="O230" s="46"/>
      <c r="P230" s="46"/>
      <c r="Q230" s="46"/>
      <c r="R230" s="73"/>
      <c r="S230" s="46"/>
      <c r="T230" s="72"/>
      <c r="U230" s="72"/>
      <c r="V230" s="72"/>
      <c r="X230" s="64"/>
      <c r="Y230" s="64"/>
      <c r="AD230" s="64"/>
    </row>
    <row r="231" spans="1:30" s="51" customFormat="1" ht="13.8">
      <c r="A231" s="75"/>
      <c r="B231" s="76"/>
      <c r="C231" s="76"/>
      <c r="D231" s="76"/>
      <c r="E231" s="76"/>
      <c r="F231" s="76"/>
      <c r="G231" s="76"/>
      <c r="H231" s="46"/>
      <c r="I231" s="46"/>
      <c r="J231" s="46"/>
      <c r="K231" s="46"/>
      <c r="L231" s="46"/>
      <c r="M231" s="46"/>
      <c r="N231" s="46"/>
      <c r="O231" s="46"/>
      <c r="P231" s="46"/>
      <c r="Q231" s="46"/>
      <c r="R231" s="73"/>
      <c r="S231" s="46"/>
      <c r="T231" s="72"/>
      <c r="U231" s="72"/>
      <c r="V231" s="72"/>
      <c r="X231" s="64"/>
      <c r="Y231" s="64"/>
      <c r="AD231" s="64"/>
    </row>
    <row r="232" spans="1:30" s="51" customFormat="1" ht="13.8">
      <c r="A232" s="714" t="s">
        <v>167</v>
      </c>
      <c r="B232" s="714"/>
      <c r="C232" s="714"/>
      <c r="D232" s="714"/>
      <c r="E232" s="714"/>
      <c r="F232" s="714"/>
      <c r="G232" s="714"/>
      <c r="H232" s="714"/>
      <c r="I232" s="714"/>
      <c r="J232" s="46"/>
      <c r="K232" s="46"/>
      <c r="L232" s="46"/>
      <c r="M232" s="46"/>
      <c r="N232" s="46"/>
      <c r="O232" s="46"/>
      <c r="P232" s="46"/>
      <c r="Q232" s="46"/>
      <c r="R232" s="73"/>
      <c r="S232" s="46"/>
      <c r="T232" s="72"/>
      <c r="U232" s="72"/>
      <c r="V232" s="72"/>
      <c r="X232" s="64"/>
      <c r="Y232" s="64"/>
      <c r="AD232" s="64"/>
    </row>
    <row r="233" spans="1:30" s="51" customFormat="1" ht="13.8">
      <c r="A233" s="570" t="s">
        <v>193</v>
      </c>
      <c r="B233" s="570"/>
      <c r="C233" s="570"/>
      <c r="D233" s="570"/>
      <c r="E233" s="570"/>
      <c r="F233" s="570"/>
      <c r="G233" s="570"/>
      <c r="H233" s="681">
        <v>200</v>
      </c>
      <c r="I233" s="681"/>
      <c r="J233" s="46"/>
      <c r="K233" s="46"/>
      <c r="L233" s="46"/>
      <c r="M233" s="46"/>
      <c r="N233" s="46"/>
      <c r="O233" s="46"/>
      <c r="P233" s="46"/>
      <c r="Q233" s="46"/>
      <c r="R233" s="73"/>
      <c r="S233" s="46"/>
      <c r="T233" s="72"/>
      <c r="U233" s="72"/>
      <c r="V233" s="72"/>
      <c r="X233" s="64"/>
      <c r="Y233" s="64"/>
      <c r="AD233" s="64"/>
    </row>
    <row r="234" spans="1:30" s="51" customFormat="1" ht="13.8">
      <c r="A234" s="570" t="s">
        <v>192</v>
      </c>
      <c r="B234" s="570"/>
      <c r="C234" s="570"/>
      <c r="D234" s="570"/>
      <c r="E234" s="570"/>
      <c r="F234" s="570"/>
      <c r="G234" s="570"/>
      <c r="H234" s="658">
        <v>4.5</v>
      </c>
      <c r="I234" s="658"/>
      <c r="J234" s="46"/>
      <c r="K234" s="46"/>
      <c r="L234" s="46"/>
      <c r="M234" s="46"/>
      <c r="N234" s="46"/>
      <c r="O234" s="46"/>
      <c r="P234" s="46"/>
      <c r="Q234" s="46"/>
      <c r="R234" s="73"/>
      <c r="S234" s="46"/>
      <c r="T234" s="72"/>
      <c r="U234" s="72"/>
      <c r="V234" s="72"/>
      <c r="X234" s="64"/>
      <c r="Y234" s="64"/>
      <c r="AD234" s="64"/>
    </row>
    <row r="235" spans="1:30" s="51" customFormat="1" ht="13.8">
      <c r="A235" s="570" t="s">
        <v>168</v>
      </c>
      <c r="B235" s="570"/>
      <c r="C235" s="570"/>
      <c r="D235" s="570"/>
      <c r="E235" s="570"/>
      <c r="F235" s="570"/>
      <c r="G235" s="570"/>
      <c r="H235" s="681">
        <f>H233*H234</f>
        <v>900</v>
      </c>
      <c r="I235" s="681"/>
      <c r="J235" s="46"/>
      <c r="K235" s="46"/>
      <c r="L235" s="46"/>
      <c r="M235" s="46"/>
      <c r="N235" s="46"/>
      <c r="O235" s="46"/>
      <c r="P235" s="46"/>
      <c r="Q235" s="46"/>
      <c r="R235" s="73"/>
      <c r="S235" s="46"/>
      <c r="T235" s="72"/>
      <c r="U235" s="72"/>
      <c r="V235" s="72"/>
      <c r="X235" s="64"/>
      <c r="Y235" s="64"/>
      <c r="AD235" s="64"/>
    </row>
    <row r="236" spans="1:30" s="51" customFormat="1" ht="13.8">
      <c r="A236" s="570" t="s">
        <v>459</v>
      </c>
      <c r="B236" s="570"/>
      <c r="C236" s="570"/>
      <c r="D236" s="570"/>
      <c r="E236" s="570"/>
      <c r="F236" s="570"/>
      <c r="G236" s="570"/>
      <c r="H236" s="681">
        <f>D204</f>
        <v>5</v>
      </c>
      <c r="I236" s="681"/>
      <c r="J236" s="46"/>
      <c r="K236" s="46"/>
      <c r="L236" s="46"/>
      <c r="M236" s="46"/>
      <c r="N236" s="46"/>
      <c r="O236" s="46"/>
      <c r="P236" s="46"/>
      <c r="Q236" s="46"/>
      <c r="R236" s="73"/>
      <c r="S236" s="46"/>
      <c r="T236" s="72"/>
      <c r="U236" s="72"/>
      <c r="V236" s="72"/>
      <c r="X236" s="64"/>
      <c r="Y236" s="64"/>
      <c r="AD236" s="64"/>
    </row>
    <row r="237" spans="1:30" s="51" customFormat="1" ht="18">
      <c r="A237" s="683" t="s">
        <v>194</v>
      </c>
      <c r="B237" s="683"/>
      <c r="C237" s="683"/>
      <c r="D237" s="683"/>
      <c r="E237" s="683"/>
      <c r="F237" s="683"/>
      <c r="G237" s="683"/>
      <c r="H237" s="657">
        <f>H236*H235</f>
        <v>4500</v>
      </c>
      <c r="I237" s="657"/>
      <c r="J237" s="410"/>
      <c r="K237" s="46"/>
      <c r="L237" s="46"/>
      <c r="M237" s="46"/>
      <c r="N237" s="46"/>
      <c r="O237" s="46"/>
      <c r="P237" s="46"/>
      <c r="Q237" s="46"/>
      <c r="R237" s="73"/>
      <c r="S237" s="46"/>
      <c r="T237" s="72"/>
      <c r="U237" s="72"/>
      <c r="V237" s="72"/>
      <c r="X237" s="64"/>
      <c r="Y237" s="64"/>
      <c r="AD237" s="64"/>
    </row>
    <row r="238" spans="1:30" s="51" customFormat="1" ht="18">
      <c r="A238" s="102"/>
      <c r="B238" s="103"/>
      <c r="C238" s="104"/>
      <c r="D238" s="105"/>
      <c r="E238" s="104"/>
      <c r="F238" s="106"/>
      <c r="G238" s="107"/>
      <c r="H238" s="108"/>
      <c r="I238" s="108"/>
      <c r="J238" s="108"/>
      <c r="K238" s="46"/>
      <c r="L238" s="46"/>
      <c r="M238" s="46"/>
      <c r="N238" s="46"/>
      <c r="O238" s="46"/>
      <c r="P238" s="46"/>
      <c r="Q238" s="46"/>
      <c r="R238" s="73"/>
      <c r="S238" s="46"/>
      <c r="T238" s="72"/>
      <c r="U238" s="72"/>
      <c r="V238" s="72"/>
      <c r="X238" s="64"/>
      <c r="Y238" s="64"/>
      <c r="AD238" s="64"/>
    </row>
    <row r="239" spans="1:30" s="51" customFormat="1" ht="13.8">
      <c r="A239" s="714" t="s">
        <v>169</v>
      </c>
      <c r="B239" s="714"/>
      <c r="C239" s="714"/>
      <c r="D239" s="714"/>
      <c r="E239" s="714"/>
      <c r="F239" s="714"/>
      <c r="G239" s="714"/>
      <c r="H239" s="714"/>
      <c r="I239" s="714"/>
      <c r="J239" s="714"/>
      <c r="K239" s="714"/>
      <c r="L239" s="714"/>
      <c r="M239" s="714"/>
      <c r="N239" s="714"/>
      <c r="O239" s="714"/>
      <c r="P239" s="714"/>
      <c r="Q239" s="714"/>
      <c r="R239" s="73"/>
      <c r="S239" s="46"/>
      <c r="T239" s="72"/>
      <c r="U239" s="72"/>
      <c r="V239" s="72"/>
      <c r="X239" s="64"/>
      <c r="Y239" s="64"/>
      <c r="AD239" s="64"/>
    </row>
    <row r="240" spans="1:30" s="51" customFormat="1" ht="13.8">
      <c r="A240" s="648" t="s">
        <v>569</v>
      </c>
      <c r="B240" s="648"/>
      <c r="C240" s="648"/>
      <c r="D240" s="648"/>
      <c r="E240" s="648"/>
      <c r="F240" s="648"/>
      <c r="G240" s="648"/>
      <c r="H240" s="648"/>
      <c r="I240" s="658" t="s">
        <v>24</v>
      </c>
      <c r="J240" s="658"/>
      <c r="K240" s="658" t="s">
        <v>36</v>
      </c>
      <c r="L240" s="658"/>
      <c r="M240" s="658" t="s">
        <v>570</v>
      </c>
      <c r="N240" s="658"/>
      <c r="O240" s="715" t="s">
        <v>606</v>
      </c>
      <c r="P240" s="716"/>
      <c r="Q240" s="717"/>
      <c r="R240" s="73"/>
      <c r="S240" s="46"/>
      <c r="T240" s="72"/>
      <c r="U240" s="72"/>
      <c r="V240" s="72"/>
      <c r="X240" s="64"/>
      <c r="Y240" s="64"/>
      <c r="AD240" s="64"/>
    </row>
    <row r="241" spans="1:30" s="51" customFormat="1" ht="13.8">
      <c r="A241" s="570" t="s">
        <v>197</v>
      </c>
      <c r="B241" s="570"/>
      <c r="C241" s="570"/>
      <c r="D241" s="570"/>
      <c r="E241" s="570"/>
      <c r="F241" s="570"/>
      <c r="G241" s="570"/>
      <c r="H241" s="570"/>
      <c r="I241" s="680" t="s">
        <v>577</v>
      </c>
      <c r="J241" s="680"/>
      <c r="K241" s="658">
        <v>1</v>
      </c>
      <c r="L241" s="658"/>
      <c r="M241" s="681">
        <f>K209</f>
        <v>243950</v>
      </c>
      <c r="N241" s="681"/>
      <c r="O241" s="682">
        <f t="shared" ref="O241:O246" si="9">M241*K241</f>
        <v>243950</v>
      </c>
      <c r="P241" s="680"/>
      <c r="Q241" s="680"/>
      <c r="R241" s="73"/>
      <c r="S241" s="46"/>
      <c r="T241" s="72"/>
      <c r="U241" s="72"/>
      <c r="V241" s="72"/>
      <c r="X241" s="64"/>
      <c r="Y241" s="64"/>
      <c r="AD241" s="64"/>
    </row>
    <row r="242" spans="1:30" s="51" customFormat="1" ht="13.8">
      <c r="A242" s="570" t="s">
        <v>170</v>
      </c>
      <c r="B242" s="570"/>
      <c r="C242" s="570"/>
      <c r="D242" s="570"/>
      <c r="E242" s="570"/>
      <c r="F242" s="570"/>
      <c r="G242" s="570"/>
      <c r="H242" s="570"/>
      <c r="I242" s="680" t="s">
        <v>542</v>
      </c>
      <c r="J242" s="680"/>
      <c r="K242" s="704">
        <v>0.01</v>
      </c>
      <c r="L242" s="658"/>
      <c r="M242" s="681">
        <f>M241</f>
        <v>243950</v>
      </c>
      <c r="N242" s="681"/>
      <c r="O242" s="682">
        <f t="shared" si="9"/>
        <v>2439.5</v>
      </c>
      <c r="P242" s="680"/>
      <c r="Q242" s="680"/>
      <c r="R242" s="73"/>
      <c r="S242" s="46"/>
      <c r="T242" s="72"/>
      <c r="U242" s="72"/>
      <c r="V242" s="72"/>
      <c r="X242" s="64"/>
      <c r="Y242" s="64"/>
      <c r="AD242" s="64"/>
    </row>
    <row r="243" spans="1:30" s="51" customFormat="1" ht="13.8">
      <c r="A243" s="570" t="s">
        <v>171</v>
      </c>
      <c r="B243" s="570"/>
      <c r="C243" s="570"/>
      <c r="D243" s="570"/>
      <c r="E243" s="570"/>
      <c r="F243" s="570"/>
      <c r="G243" s="570"/>
      <c r="H243" s="570"/>
      <c r="I243" s="680" t="s">
        <v>577</v>
      </c>
      <c r="J243" s="680"/>
      <c r="K243" s="658">
        <v>1</v>
      </c>
      <c r="L243" s="658"/>
      <c r="M243" s="681">
        <v>102.41</v>
      </c>
      <c r="N243" s="681"/>
      <c r="O243" s="682">
        <f t="shared" si="9"/>
        <v>102.41</v>
      </c>
      <c r="P243" s="680"/>
      <c r="Q243" s="680"/>
      <c r="R243" s="73"/>
      <c r="S243" s="46"/>
      <c r="T243" s="72"/>
      <c r="U243" s="72"/>
      <c r="V243" s="72"/>
      <c r="X243" s="64"/>
      <c r="Y243" s="64"/>
      <c r="AD243" s="64"/>
    </row>
    <row r="244" spans="1:30" s="51" customFormat="1" ht="13.8">
      <c r="A244" s="570" t="s">
        <v>172</v>
      </c>
      <c r="B244" s="570"/>
      <c r="C244" s="570"/>
      <c r="D244" s="570"/>
      <c r="E244" s="570"/>
      <c r="F244" s="570"/>
      <c r="G244" s="570"/>
      <c r="H244" s="570"/>
      <c r="I244" s="680" t="s">
        <v>577</v>
      </c>
      <c r="J244" s="680"/>
      <c r="K244" s="658">
        <v>1</v>
      </c>
      <c r="L244" s="658"/>
      <c r="M244" s="681">
        <v>16.77</v>
      </c>
      <c r="N244" s="681"/>
      <c r="O244" s="682">
        <f t="shared" si="9"/>
        <v>16.77</v>
      </c>
      <c r="P244" s="680"/>
      <c r="Q244" s="680"/>
      <c r="R244" s="73"/>
      <c r="S244" s="46"/>
      <c r="T244" s="72"/>
      <c r="U244" s="72"/>
      <c r="V244" s="72"/>
      <c r="X244" s="64"/>
      <c r="Y244" s="64"/>
      <c r="AD244" s="64"/>
    </row>
    <row r="245" spans="1:30" s="51" customFormat="1" ht="13.8">
      <c r="A245" s="570" t="s">
        <v>315</v>
      </c>
      <c r="B245" s="570"/>
      <c r="C245" s="570"/>
      <c r="D245" s="570"/>
      <c r="E245" s="570"/>
      <c r="F245" s="570"/>
      <c r="G245" s="570"/>
      <c r="H245" s="570"/>
      <c r="I245" s="680" t="s">
        <v>577</v>
      </c>
      <c r="J245" s="680"/>
      <c r="K245" s="658">
        <v>1</v>
      </c>
      <c r="L245" s="658"/>
      <c r="M245" s="681">
        <v>3500</v>
      </c>
      <c r="N245" s="681"/>
      <c r="O245" s="682">
        <f t="shared" si="9"/>
        <v>3500</v>
      </c>
      <c r="P245" s="680"/>
      <c r="Q245" s="680"/>
      <c r="R245" s="73"/>
      <c r="S245" s="46"/>
      <c r="T245" s="72"/>
      <c r="U245" s="72"/>
      <c r="V245" s="72"/>
      <c r="X245" s="64"/>
      <c r="Y245" s="64"/>
      <c r="AD245" s="64"/>
    </row>
    <row r="246" spans="1:30" s="51" customFormat="1" ht="13.8">
      <c r="A246" s="570" t="s">
        <v>607</v>
      </c>
      <c r="B246" s="570"/>
      <c r="C246" s="570"/>
      <c r="D246" s="570"/>
      <c r="E246" s="570"/>
      <c r="F246" s="570"/>
      <c r="G246" s="570"/>
      <c r="H246" s="570"/>
      <c r="I246" s="680" t="s">
        <v>577</v>
      </c>
      <c r="J246" s="680"/>
      <c r="K246" s="658">
        <v>5</v>
      </c>
      <c r="L246" s="658"/>
      <c r="M246" s="681">
        <f>SUM(O242:Q245)</f>
        <v>6058.68</v>
      </c>
      <c r="N246" s="681"/>
      <c r="O246" s="682">
        <f t="shared" si="9"/>
        <v>30293.4</v>
      </c>
      <c r="P246" s="680"/>
      <c r="Q246" s="680"/>
      <c r="R246" s="73"/>
      <c r="S246" s="46"/>
      <c r="T246" s="72"/>
      <c r="U246" s="72"/>
      <c r="V246" s="72"/>
      <c r="X246" s="64"/>
      <c r="Y246" s="64"/>
      <c r="AD246" s="64"/>
    </row>
    <row r="247" spans="1:30" s="51" customFormat="1" ht="13.8">
      <c r="A247" s="570" t="s">
        <v>608</v>
      </c>
      <c r="B247" s="570"/>
      <c r="C247" s="570"/>
      <c r="D247" s="570"/>
      <c r="E247" s="570"/>
      <c r="F247" s="570"/>
      <c r="G247" s="570"/>
      <c r="H247" s="570"/>
      <c r="I247" s="680" t="s">
        <v>577</v>
      </c>
      <c r="J247" s="680"/>
      <c r="K247" s="658">
        <v>12</v>
      </c>
      <c r="L247" s="658"/>
      <c r="M247" s="681"/>
      <c r="N247" s="681"/>
      <c r="O247" s="682">
        <f>O246/K247</f>
        <v>2524.4500000000003</v>
      </c>
      <c r="P247" s="680"/>
      <c r="Q247" s="680"/>
      <c r="R247" s="73"/>
      <c r="S247" s="46"/>
      <c r="T247" s="72"/>
      <c r="U247" s="72"/>
      <c r="V247" s="72"/>
      <c r="X247" s="64"/>
      <c r="Y247" s="64"/>
      <c r="AD247" s="64"/>
    </row>
    <row r="248" spans="1:30" s="51" customFormat="1" ht="18">
      <c r="A248" s="823" t="s">
        <v>196</v>
      </c>
      <c r="B248" s="823"/>
      <c r="C248" s="823"/>
      <c r="D248" s="823"/>
      <c r="E248" s="823"/>
      <c r="F248" s="823"/>
      <c r="G248" s="823"/>
      <c r="H248" s="823"/>
      <c r="I248" s="823"/>
      <c r="J248" s="823"/>
      <c r="K248" s="823"/>
      <c r="L248" s="823"/>
      <c r="M248" s="823"/>
      <c r="N248" s="823"/>
      <c r="O248" s="822">
        <f>O247</f>
        <v>2524.4500000000003</v>
      </c>
      <c r="P248" s="822"/>
      <c r="Q248" s="822"/>
      <c r="R248" s="73"/>
      <c r="S248" s="46"/>
      <c r="T248" s="72"/>
      <c r="U248" s="72"/>
      <c r="V248" s="72"/>
      <c r="X248" s="64"/>
      <c r="Y248" s="64"/>
      <c r="AD248" s="64"/>
    </row>
    <row r="249" spans="1:30" s="51" customFormat="1" ht="13.8">
      <c r="A249" s="46"/>
      <c r="B249" s="88"/>
      <c r="C249" s="88"/>
      <c r="D249" s="77"/>
      <c r="E249" s="45"/>
      <c r="F249" s="46"/>
      <c r="G249" s="46"/>
      <c r="H249" s="46"/>
      <c r="I249" s="46"/>
      <c r="J249" s="46"/>
      <c r="K249" s="46"/>
      <c r="L249" s="46"/>
      <c r="M249" s="46"/>
      <c r="N249" s="46"/>
      <c r="O249" s="46"/>
      <c r="P249" s="46"/>
      <c r="Q249" s="46"/>
      <c r="R249" s="73"/>
      <c r="S249" s="46"/>
      <c r="T249" s="72"/>
      <c r="U249" s="72"/>
      <c r="V249" s="72"/>
      <c r="X249" s="64"/>
      <c r="Y249" s="64"/>
      <c r="AD249" s="64"/>
    </row>
    <row r="250" spans="1:30" s="51" customFormat="1" ht="13.8">
      <c r="A250" s="684" t="s">
        <v>173</v>
      </c>
      <c r="B250" s="684"/>
      <c r="C250" s="684"/>
      <c r="D250" s="685" t="s">
        <v>208</v>
      </c>
      <c r="E250" s="685"/>
      <c r="F250" s="685"/>
      <c r="G250" s="685"/>
      <c r="H250" s="685"/>
      <c r="I250" s="686">
        <f>K212</f>
        <v>411685</v>
      </c>
      <c r="J250" s="686"/>
      <c r="K250" s="686"/>
      <c r="L250" s="46"/>
      <c r="M250" s="46"/>
      <c r="N250" s="46"/>
      <c r="O250" s="46"/>
      <c r="P250" s="46"/>
      <c r="Q250" s="46"/>
      <c r="R250" s="73"/>
      <c r="S250" s="46"/>
      <c r="T250" s="72"/>
      <c r="U250" s="72"/>
      <c r="V250" s="72"/>
      <c r="X250" s="64"/>
      <c r="Y250" s="64"/>
      <c r="AD250" s="64"/>
    </row>
    <row r="251" spans="1:30" s="51" customFormat="1" ht="13.8">
      <c r="A251" s="684"/>
      <c r="B251" s="684"/>
      <c r="C251" s="684"/>
      <c r="D251" s="685" t="s">
        <v>201</v>
      </c>
      <c r="E251" s="685"/>
      <c r="F251" s="685"/>
      <c r="G251" s="685"/>
      <c r="H251" s="685"/>
      <c r="I251" s="687">
        <f>K246</f>
        <v>5</v>
      </c>
      <c r="J251" s="687"/>
      <c r="K251" s="687"/>
      <c r="L251" s="46"/>
      <c r="M251" s="46"/>
      <c r="N251" s="46"/>
      <c r="O251" s="46"/>
      <c r="P251" s="46"/>
      <c r="Q251" s="46"/>
      <c r="R251" s="73"/>
      <c r="S251" s="46"/>
      <c r="T251" s="72"/>
      <c r="U251" s="72"/>
      <c r="V251" s="72"/>
      <c r="X251" s="64"/>
      <c r="Y251" s="64"/>
      <c r="AD251" s="64"/>
    </row>
    <row r="252" spans="1:30" s="51" customFormat="1" ht="13.8">
      <c r="A252" s="684"/>
      <c r="B252" s="684"/>
      <c r="C252" s="684"/>
      <c r="D252" s="685" t="s">
        <v>198</v>
      </c>
      <c r="E252" s="685"/>
      <c r="F252" s="685"/>
      <c r="G252" s="685"/>
      <c r="H252" s="685"/>
      <c r="I252" s="688">
        <v>0.3</v>
      </c>
      <c r="J252" s="688"/>
      <c r="K252" s="688"/>
      <c r="L252" s="46"/>
      <c r="M252" s="46"/>
      <c r="N252" s="46"/>
      <c r="O252" s="46"/>
      <c r="P252" s="46"/>
      <c r="Q252" s="46"/>
      <c r="R252" s="73"/>
      <c r="S252" s="46"/>
      <c r="T252" s="72"/>
      <c r="U252" s="72"/>
      <c r="V252" s="72"/>
      <c r="X252" s="64"/>
      <c r="Y252" s="64"/>
      <c r="AD252" s="64"/>
    </row>
    <row r="253" spans="1:30" s="51" customFormat="1" ht="13.8">
      <c r="A253" s="684"/>
      <c r="B253" s="684"/>
      <c r="C253" s="684"/>
      <c r="D253" s="685" t="s">
        <v>199</v>
      </c>
      <c r="E253" s="685"/>
      <c r="F253" s="685"/>
      <c r="G253" s="685"/>
      <c r="H253" s="685"/>
      <c r="I253" s="687">
        <f>60*200</f>
        <v>12000</v>
      </c>
      <c r="J253" s="687"/>
      <c r="K253" s="687"/>
      <c r="L253" s="46"/>
      <c r="M253" s="46"/>
      <c r="N253" s="46"/>
      <c r="O253" s="46"/>
      <c r="P253" s="46"/>
      <c r="Q253" s="46"/>
      <c r="R253" s="73"/>
      <c r="S253" s="46"/>
      <c r="T253" s="72"/>
      <c r="U253" s="72"/>
      <c r="V253" s="72"/>
      <c r="X253" s="64"/>
      <c r="Y253" s="64"/>
      <c r="AD253" s="64"/>
    </row>
    <row r="254" spans="1:30" s="51" customFormat="1" ht="13.8">
      <c r="A254" s="684"/>
      <c r="B254" s="684"/>
      <c r="C254" s="684"/>
      <c r="D254" s="685" t="s">
        <v>200</v>
      </c>
      <c r="E254" s="685"/>
      <c r="F254" s="685"/>
      <c r="G254" s="685"/>
      <c r="H254" s="685"/>
      <c r="I254" s="687">
        <v>400</v>
      </c>
      <c r="J254" s="687"/>
      <c r="K254" s="687"/>
      <c r="L254" s="46"/>
      <c r="M254" s="46"/>
      <c r="N254" s="46"/>
      <c r="O254" s="46"/>
      <c r="P254" s="46"/>
      <c r="Q254" s="46"/>
      <c r="R254" s="73"/>
      <c r="S254" s="46"/>
      <c r="T254" s="72"/>
      <c r="U254" s="72"/>
      <c r="V254" s="72"/>
      <c r="X254" s="64"/>
      <c r="Y254" s="64"/>
      <c r="AD254" s="64"/>
    </row>
    <row r="255" spans="1:30" s="51" customFormat="1" ht="18">
      <c r="A255" s="684"/>
      <c r="B255" s="684"/>
      <c r="C255" s="684"/>
      <c r="D255" s="819" t="s">
        <v>609</v>
      </c>
      <c r="E255" s="819"/>
      <c r="F255" s="819"/>
      <c r="G255" s="819"/>
      <c r="H255" s="819"/>
      <c r="I255" s="821">
        <f>ROUND(I250*I251*(1-I252)/I253,2)*I254</f>
        <v>48028</v>
      </c>
      <c r="J255" s="821"/>
      <c r="K255" s="821"/>
      <c r="L255" s="46"/>
      <c r="M255" s="46"/>
      <c r="N255" s="46"/>
      <c r="O255" s="46"/>
      <c r="P255" s="46"/>
      <c r="Q255" s="46"/>
      <c r="R255" s="73"/>
      <c r="S255" s="46"/>
      <c r="T255" s="72"/>
      <c r="U255" s="72">
        <f>400*60</f>
        <v>24000</v>
      </c>
      <c r="V255" s="72"/>
      <c r="X255" s="64"/>
      <c r="Y255" s="64"/>
      <c r="AD255" s="64"/>
    </row>
    <row r="256" spans="1:30" s="51" customFormat="1" ht="18">
      <c r="A256" s="102"/>
      <c r="B256" s="103"/>
      <c r="C256" s="104"/>
      <c r="D256" s="105"/>
      <c r="E256" s="104"/>
      <c r="F256" s="106"/>
      <c r="G256" s="107"/>
      <c r="H256" s="108"/>
      <c r="I256" s="108"/>
      <c r="J256" s="108"/>
      <c r="K256" s="46"/>
      <c r="L256" s="46"/>
      <c r="M256" s="46"/>
      <c r="N256" s="46"/>
      <c r="O256" s="46"/>
      <c r="P256" s="46"/>
      <c r="Q256" s="46"/>
      <c r="R256" s="73"/>
      <c r="S256" s="46"/>
      <c r="T256" s="72"/>
      <c r="U256" s="72"/>
      <c r="V256" s="72"/>
      <c r="X256" s="64"/>
      <c r="Y256" s="64"/>
      <c r="AD256" s="64"/>
    </row>
    <row r="257" spans="1:30" s="51" customFormat="1" ht="18">
      <c r="A257" s="667" t="s">
        <v>207</v>
      </c>
      <c r="B257" s="667"/>
      <c r="C257" s="667"/>
      <c r="D257" s="667"/>
      <c r="E257" s="667"/>
      <c r="F257" s="667"/>
      <c r="G257" s="667"/>
      <c r="H257" s="667"/>
      <c r="I257" s="667"/>
      <c r="J257" s="108"/>
      <c r="K257" s="46"/>
      <c r="L257" s="46"/>
      <c r="M257" s="46"/>
      <c r="N257" s="46"/>
      <c r="O257" s="46"/>
      <c r="P257" s="46"/>
      <c r="Q257" s="46"/>
      <c r="R257" s="73"/>
      <c r="S257" s="46"/>
      <c r="T257" s="72"/>
      <c r="U257" s="72"/>
      <c r="V257" s="72"/>
      <c r="X257" s="64"/>
      <c r="Y257" s="64"/>
      <c r="AD257" s="64"/>
    </row>
    <row r="258" spans="1:30" s="51" customFormat="1" ht="24" customHeight="1">
      <c r="A258" s="668" t="s">
        <v>611</v>
      </c>
      <c r="B258" s="668"/>
      <c r="C258" s="668"/>
      <c r="D258" s="668"/>
      <c r="E258" s="668"/>
      <c r="F258" s="668"/>
      <c r="G258" s="411" t="s">
        <v>202</v>
      </c>
      <c r="H258" s="412"/>
      <c r="I258" s="412"/>
      <c r="J258" s="108"/>
      <c r="K258" s="46"/>
      <c r="L258" s="46"/>
      <c r="M258" s="46"/>
      <c r="N258" s="46"/>
      <c r="O258" s="46"/>
      <c r="P258" s="46"/>
      <c r="Q258" s="46"/>
      <c r="R258" s="73"/>
      <c r="S258" s="46"/>
      <c r="T258" s="72"/>
      <c r="U258" s="72"/>
      <c r="V258" s="72"/>
      <c r="X258" s="64"/>
      <c r="Y258" s="64"/>
      <c r="AD258" s="64"/>
    </row>
    <row r="259" spans="1:30" s="51" customFormat="1" ht="18">
      <c r="A259" s="660" t="s">
        <v>208</v>
      </c>
      <c r="B259" s="660"/>
      <c r="C259" s="660"/>
      <c r="D259" s="660"/>
      <c r="E259" s="660"/>
      <c r="F259" s="660"/>
      <c r="G259" s="669">
        <f>I250</f>
        <v>411685</v>
      </c>
      <c r="H259" s="669"/>
      <c r="I259" s="669"/>
      <c r="J259" s="108"/>
      <c r="K259" s="46"/>
      <c r="L259" s="46"/>
      <c r="M259" s="46"/>
      <c r="N259" s="46"/>
      <c r="O259" s="46"/>
      <c r="P259" s="46"/>
      <c r="Q259" s="46"/>
      <c r="R259" s="73"/>
      <c r="S259" s="46"/>
      <c r="T259" s="72"/>
      <c r="U259" s="72"/>
      <c r="V259" s="72"/>
      <c r="X259" s="64"/>
      <c r="Y259" s="64"/>
      <c r="AD259" s="64"/>
    </row>
    <row r="260" spans="1:30" s="51" customFormat="1" ht="18">
      <c r="A260" s="660" t="s">
        <v>201</v>
      </c>
      <c r="B260" s="660"/>
      <c r="C260" s="660"/>
      <c r="D260" s="660"/>
      <c r="E260" s="660"/>
      <c r="F260" s="660"/>
      <c r="G260" s="670">
        <f>I251</f>
        <v>5</v>
      </c>
      <c r="H260" s="670"/>
      <c r="I260" s="670"/>
      <c r="J260" s="108"/>
      <c r="K260" s="46"/>
      <c r="L260" s="46"/>
      <c r="M260" s="46"/>
      <c r="N260" s="46"/>
      <c r="O260" s="46"/>
      <c r="P260" s="46"/>
      <c r="Q260" s="46"/>
      <c r="R260" s="73"/>
      <c r="S260" s="46"/>
      <c r="T260" s="72"/>
      <c r="U260" s="72"/>
      <c r="V260" s="72"/>
      <c r="X260" s="64"/>
      <c r="Y260" s="64"/>
      <c r="AD260" s="64"/>
    </row>
    <row r="261" spans="1:30" s="51" customFormat="1" ht="18">
      <c r="A261" s="660" t="s">
        <v>203</v>
      </c>
      <c r="B261" s="660"/>
      <c r="C261" s="660"/>
      <c r="D261" s="660"/>
      <c r="E261" s="660"/>
      <c r="F261" s="660"/>
      <c r="G261" s="671">
        <v>0.3</v>
      </c>
      <c r="H261" s="671"/>
      <c r="I261" s="671"/>
      <c r="J261" s="108"/>
      <c r="K261" s="46"/>
      <c r="L261" s="46"/>
      <c r="M261" s="46"/>
      <c r="N261" s="46"/>
      <c r="O261" s="46"/>
      <c r="P261" s="46"/>
      <c r="Q261" s="46"/>
      <c r="R261" s="73"/>
      <c r="S261" s="46"/>
      <c r="T261" s="72"/>
      <c r="U261" s="72"/>
      <c r="V261" s="72"/>
      <c r="X261" s="64"/>
      <c r="Y261" s="64"/>
      <c r="AD261" s="64"/>
    </row>
    <row r="262" spans="1:30" s="51" customFormat="1" ht="18">
      <c r="A262" s="660" t="s">
        <v>204</v>
      </c>
      <c r="B262" s="660"/>
      <c r="C262" s="660"/>
      <c r="D262" s="660"/>
      <c r="E262" s="660"/>
      <c r="F262" s="660"/>
      <c r="G262" s="672">
        <v>2.5</v>
      </c>
      <c r="H262" s="672"/>
      <c r="I262" s="672"/>
      <c r="J262" s="108"/>
      <c r="K262" s="46"/>
      <c r="L262" s="46"/>
      <c r="M262" s="46"/>
      <c r="N262" s="46"/>
      <c r="O262" s="46"/>
      <c r="P262" s="46"/>
      <c r="Q262" s="46"/>
      <c r="R262" s="73"/>
      <c r="S262" s="46"/>
      <c r="T262" s="72"/>
      <c r="U262" s="72"/>
      <c r="V262" s="72"/>
      <c r="X262" s="64"/>
      <c r="Y262" s="64"/>
      <c r="AD262" s="64"/>
    </row>
    <row r="263" spans="1:30" s="51" customFormat="1" ht="18">
      <c r="A263" s="660" t="s">
        <v>205</v>
      </c>
      <c r="B263" s="660"/>
      <c r="C263" s="660"/>
      <c r="D263" s="660"/>
      <c r="E263" s="660"/>
      <c r="F263" s="660"/>
      <c r="G263" s="671">
        <v>0.12</v>
      </c>
      <c r="H263" s="671"/>
      <c r="I263" s="671"/>
      <c r="J263" s="108"/>
      <c r="K263" s="46"/>
      <c r="L263" s="46"/>
      <c r="M263" s="46"/>
      <c r="N263" s="46"/>
      <c r="O263" s="46"/>
      <c r="P263" s="46"/>
      <c r="Q263" s="46"/>
      <c r="R263" s="73"/>
      <c r="S263" s="46"/>
      <c r="T263" s="72"/>
      <c r="U263" s="72"/>
      <c r="V263" s="72"/>
      <c r="X263" s="64"/>
      <c r="Y263" s="64"/>
      <c r="AD263" s="64"/>
    </row>
    <row r="264" spans="1:30" s="51" customFormat="1" ht="18">
      <c r="A264" s="660" t="s">
        <v>206</v>
      </c>
      <c r="B264" s="660"/>
      <c r="C264" s="660"/>
      <c r="D264" s="660"/>
      <c r="E264" s="660"/>
      <c r="F264" s="660"/>
      <c r="G264" s="673">
        <f>((2+(G262-1)*(G261+1))/(24*G262))*G263</f>
        <v>7.9000000000000008E-3</v>
      </c>
      <c r="H264" s="673"/>
      <c r="I264" s="673"/>
      <c r="J264" s="108"/>
      <c r="K264" s="46"/>
      <c r="L264" s="46"/>
      <c r="M264" s="46"/>
      <c r="N264" s="46"/>
      <c r="O264" s="46"/>
      <c r="P264" s="46"/>
      <c r="Q264" s="46"/>
      <c r="R264" s="73"/>
      <c r="S264" s="46"/>
      <c r="T264" s="72"/>
      <c r="U264" s="72"/>
      <c r="V264" s="72"/>
      <c r="X264" s="64"/>
      <c r="Y264" s="64"/>
      <c r="AD264" s="64"/>
    </row>
    <row r="265" spans="1:30" s="51" customFormat="1" ht="18">
      <c r="A265" s="797" t="s">
        <v>610</v>
      </c>
      <c r="B265" s="797"/>
      <c r="C265" s="797"/>
      <c r="D265" s="797"/>
      <c r="E265" s="797"/>
      <c r="F265" s="797"/>
      <c r="G265" s="796">
        <f>ROUND(G259*G260*G264,2)</f>
        <v>16261.56</v>
      </c>
      <c r="H265" s="796"/>
      <c r="I265" s="796"/>
      <c r="J265" s="108"/>
      <c r="K265" s="46"/>
      <c r="L265" s="46"/>
      <c r="M265" s="46"/>
      <c r="N265" s="46"/>
      <c r="O265" s="46"/>
      <c r="P265" s="46"/>
      <c r="Q265" s="46"/>
      <c r="R265" s="73"/>
      <c r="S265" s="46"/>
      <c r="T265" s="72"/>
      <c r="U265" s="72"/>
      <c r="V265" s="72"/>
      <c r="X265" s="64"/>
      <c r="Y265" s="64"/>
      <c r="AD265" s="64"/>
    </row>
    <row r="266" spans="1:30" s="51" customFormat="1" ht="18">
      <c r="A266" s="102"/>
      <c r="B266" s="103"/>
      <c r="C266" s="104"/>
      <c r="D266" s="105"/>
      <c r="E266" s="104"/>
      <c r="F266" s="106"/>
      <c r="G266" s="107"/>
      <c r="H266" s="108"/>
      <c r="I266" s="108"/>
      <c r="J266" s="108"/>
      <c r="K266" s="46"/>
      <c r="L266" s="46"/>
      <c r="M266" s="46"/>
      <c r="N266" s="46"/>
      <c r="O266" s="46"/>
      <c r="P266" s="46"/>
      <c r="Q266" s="46"/>
      <c r="R266" s="73"/>
      <c r="S266" s="46"/>
      <c r="T266" s="72"/>
      <c r="U266" s="72"/>
      <c r="V266" s="72"/>
      <c r="X266" s="64"/>
      <c r="Y266" s="64"/>
      <c r="AD266" s="64"/>
    </row>
    <row r="267" spans="1:30" s="51" customFormat="1" ht="32.25" customHeight="1">
      <c r="A267" s="675" t="s">
        <v>214</v>
      </c>
      <c r="B267" s="675"/>
      <c r="C267" s="675"/>
      <c r="D267" s="675"/>
      <c r="E267" s="675"/>
      <c r="F267" s="675"/>
      <c r="G267" s="675"/>
      <c r="H267" s="675"/>
      <c r="I267" s="108"/>
      <c r="O267" s="46"/>
      <c r="P267" s="46"/>
      <c r="Q267" s="46"/>
      <c r="R267" s="73"/>
      <c r="S267" s="46"/>
      <c r="T267" s="72"/>
      <c r="U267" s="72"/>
      <c r="V267" s="72"/>
      <c r="X267" s="64"/>
      <c r="Y267" s="64"/>
      <c r="AD267" s="64"/>
    </row>
    <row r="268" spans="1:30" s="51" customFormat="1" ht="18">
      <c r="A268" s="660" t="s">
        <v>213</v>
      </c>
      <c r="B268" s="660"/>
      <c r="C268" s="660"/>
      <c r="D268" s="660"/>
      <c r="E268" s="660"/>
      <c r="F268" s="660"/>
      <c r="G268" s="669">
        <v>150</v>
      </c>
      <c r="H268" s="669"/>
      <c r="I268" s="108"/>
      <c r="O268" s="46"/>
      <c r="P268" s="46"/>
      <c r="Q268" s="46"/>
      <c r="R268" s="73"/>
      <c r="S268" s="46"/>
      <c r="T268" s="72"/>
      <c r="U268" s="72"/>
      <c r="V268" s="72"/>
      <c r="X268" s="64"/>
      <c r="Y268" s="64"/>
      <c r="AD268" s="64"/>
    </row>
    <row r="269" spans="1:30" s="51" customFormat="1" ht="18">
      <c r="A269" s="660" t="s">
        <v>36</v>
      </c>
      <c r="B269" s="661"/>
      <c r="C269" s="661"/>
      <c r="D269" s="661"/>
      <c r="E269" s="661"/>
      <c r="F269" s="661"/>
      <c r="G269" s="676">
        <f>G260</f>
        <v>5</v>
      </c>
      <c r="H269" s="677"/>
      <c r="I269" s="108"/>
      <c r="O269" s="46"/>
      <c r="P269" s="46"/>
      <c r="Q269" s="46"/>
      <c r="R269" s="73"/>
      <c r="S269" s="46"/>
      <c r="T269" s="72"/>
      <c r="U269" s="72"/>
      <c r="V269" s="72"/>
      <c r="X269" s="64"/>
      <c r="Y269" s="64"/>
      <c r="AD269" s="64"/>
    </row>
    <row r="270" spans="1:30" s="51" customFormat="1" ht="18">
      <c r="A270" s="819" t="s">
        <v>612</v>
      </c>
      <c r="B270" s="820"/>
      <c r="C270" s="820"/>
      <c r="D270" s="820"/>
      <c r="E270" s="820"/>
      <c r="F270" s="820"/>
      <c r="G270" s="811">
        <f>G268*G269</f>
        <v>750</v>
      </c>
      <c r="H270" s="811"/>
      <c r="I270" s="108"/>
      <c r="J270" s="108"/>
      <c r="K270" s="46"/>
      <c r="L270" s="46"/>
      <c r="M270" s="46"/>
      <c r="N270" s="46"/>
      <c r="O270" s="46"/>
      <c r="P270" s="46"/>
      <c r="Q270" s="46"/>
      <c r="R270" s="73"/>
      <c r="S270" s="46"/>
      <c r="T270" s="72"/>
      <c r="U270" s="72"/>
      <c r="V270" s="72"/>
      <c r="X270" s="64"/>
      <c r="Y270" s="64"/>
      <c r="AD270" s="64"/>
    </row>
    <row r="271" spans="1:30" s="84" customFormat="1" ht="13.8">
      <c r="A271" s="87"/>
      <c r="B271" s="87"/>
      <c r="C271" s="87"/>
      <c r="D271" s="87"/>
      <c r="E271" s="111"/>
      <c r="F271" s="112"/>
      <c r="G271" s="112"/>
      <c r="H271" s="80"/>
      <c r="I271" s="81"/>
      <c r="J271" s="81"/>
      <c r="K271" s="81"/>
      <c r="L271" s="81"/>
      <c r="M271" s="81"/>
      <c r="N271" s="81"/>
      <c r="O271" s="81"/>
      <c r="P271" s="81"/>
      <c r="Q271" s="81"/>
      <c r="R271" s="82"/>
      <c r="S271" s="81"/>
      <c r="T271" s="83"/>
      <c r="U271" s="83"/>
      <c r="V271" s="83"/>
      <c r="X271" s="85"/>
      <c r="Y271" s="85"/>
      <c r="AD271" s="85"/>
    </row>
    <row r="272" spans="1:30" s="51" customFormat="1" ht="13.8">
      <c r="A272" s="599" t="s">
        <v>40</v>
      </c>
      <c r="B272" s="599"/>
      <c r="C272" s="599"/>
      <c r="D272" s="599"/>
      <c r="E272" s="599"/>
      <c r="F272" s="599"/>
      <c r="G272" s="599"/>
      <c r="H272" s="599"/>
      <c r="I272" s="599"/>
      <c r="J272" s="599"/>
      <c r="K272" s="46"/>
      <c r="L272" s="46"/>
      <c r="M272" s="46"/>
      <c r="N272" s="46"/>
      <c r="O272" s="46"/>
      <c r="P272" s="46"/>
      <c r="Q272" s="46"/>
      <c r="R272" s="73"/>
      <c r="S272" s="46"/>
      <c r="T272" s="72"/>
      <c r="U272" s="72"/>
      <c r="V272" s="72"/>
      <c r="X272" s="64"/>
      <c r="Y272" s="64"/>
      <c r="AD272" s="64"/>
    </row>
    <row r="273" spans="1:30" s="51" customFormat="1" ht="13.8">
      <c r="A273" s="658" t="s">
        <v>209</v>
      </c>
      <c r="B273" s="658"/>
      <c r="C273" s="658"/>
      <c r="D273" s="658"/>
      <c r="E273" s="658"/>
      <c r="F273" s="658"/>
      <c r="G273" s="658"/>
      <c r="H273" s="658"/>
      <c r="I273" s="808">
        <f>'BANCO DE DADOS'!J75</f>
        <v>1890</v>
      </c>
      <c r="J273" s="571"/>
      <c r="K273" s="46"/>
      <c r="L273" s="46"/>
      <c r="M273" s="46"/>
      <c r="N273" s="46"/>
      <c r="O273" s="46"/>
      <c r="P273" s="46"/>
      <c r="Q273" s="46"/>
      <c r="R273" s="73"/>
      <c r="S273" s="46"/>
      <c r="T273" s="72"/>
      <c r="U273" s="72"/>
      <c r="V273" s="72"/>
      <c r="X273" s="64"/>
      <c r="Y273" s="64"/>
      <c r="AD273" s="64"/>
    </row>
    <row r="274" spans="1:30" s="51" customFormat="1" ht="13.8">
      <c r="A274" s="659" t="s">
        <v>384</v>
      </c>
      <c r="B274" s="659"/>
      <c r="C274" s="659"/>
      <c r="D274" s="659"/>
      <c r="E274" s="659"/>
      <c r="F274" s="659"/>
      <c r="G274" s="659"/>
      <c r="H274" s="659"/>
      <c r="I274" s="571">
        <f>'BANCO DE DADOS'!D78</f>
        <v>600</v>
      </c>
      <c r="J274" s="571"/>
      <c r="K274" s="46"/>
      <c r="L274" s="46"/>
      <c r="M274" s="46"/>
      <c r="N274" s="46"/>
      <c r="O274" s="46"/>
      <c r="P274" s="46"/>
      <c r="Q274" s="46"/>
      <c r="R274" s="73"/>
      <c r="S274" s="46"/>
      <c r="T274" s="72"/>
      <c r="U274" s="72"/>
      <c r="V274" s="72"/>
      <c r="X274" s="64"/>
      <c r="Y274" s="64"/>
      <c r="AD274" s="64"/>
    </row>
    <row r="275" spans="1:30" s="51" customFormat="1" ht="18">
      <c r="A275" s="805" t="s">
        <v>210</v>
      </c>
      <c r="B275" s="805"/>
      <c r="C275" s="805"/>
      <c r="D275" s="805"/>
      <c r="E275" s="805"/>
      <c r="F275" s="805"/>
      <c r="G275" s="805"/>
      <c r="H275" s="806">
        <f>SUM(I273:I274)</f>
        <v>2490</v>
      </c>
      <c r="I275" s="807"/>
      <c r="J275" s="807"/>
      <c r="K275" s="46"/>
      <c r="L275" s="46"/>
      <c r="M275" s="46"/>
      <c r="N275" s="46"/>
      <c r="O275" s="46"/>
      <c r="P275" s="46"/>
      <c r="Q275" s="46"/>
      <c r="R275" s="73"/>
      <c r="S275" s="46"/>
      <c r="T275" s="72"/>
      <c r="U275" s="72"/>
      <c r="V275" s="72"/>
      <c r="X275" s="64"/>
      <c r="Y275" s="64"/>
      <c r="AD275" s="64"/>
    </row>
    <row r="276" spans="1:30" s="51" customFormat="1" ht="13.8">
      <c r="A276" s="46"/>
      <c r="B276" s="44"/>
      <c r="C276" s="45"/>
      <c r="D276" s="46"/>
      <c r="E276" s="45"/>
      <c r="F276" s="46"/>
      <c r="G276" s="46"/>
      <c r="H276" s="46"/>
      <c r="I276" s="46"/>
      <c r="J276" s="46"/>
      <c r="K276" s="46"/>
      <c r="L276" s="46"/>
      <c r="M276" s="46"/>
      <c r="N276" s="46"/>
      <c r="O276" s="46"/>
      <c r="P276" s="46"/>
      <c r="Q276" s="46"/>
      <c r="R276" s="73"/>
      <c r="S276" s="46"/>
      <c r="T276" s="72"/>
      <c r="U276" s="72"/>
      <c r="V276" s="72"/>
      <c r="X276" s="64"/>
      <c r="Y276" s="64"/>
      <c r="AD276" s="64"/>
    </row>
    <row r="277" spans="1:30" s="51" customFormat="1" ht="15.6">
      <c r="A277" s="653" t="s">
        <v>614</v>
      </c>
      <c r="B277" s="653"/>
      <c r="C277" s="653"/>
      <c r="D277" s="653"/>
      <c r="E277" s="653"/>
      <c r="F277" s="653"/>
      <c r="G277" s="653"/>
      <c r="H277" s="653"/>
      <c r="I277" s="653"/>
      <c r="J277" s="653"/>
      <c r="K277" s="653"/>
      <c r="L277" s="653"/>
      <c r="M277" s="653"/>
      <c r="N277" s="653"/>
      <c r="O277" s="46"/>
      <c r="P277" s="46"/>
      <c r="Q277" s="46"/>
      <c r="R277" s="73"/>
      <c r="S277" s="46"/>
      <c r="T277" s="72"/>
      <c r="U277" s="72"/>
      <c r="V277" s="72"/>
      <c r="X277" s="64"/>
      <c r="Y277" s="64"/>
      <c r="AD277" s="64"/>
    </row>
    <row r="278" spans="1:30" s="51" customFormat="1" ht="16.5" customHeight="1">
      <c r="A278" s="648" t="s">
        <v>69</v>
      </c>
      <c r="B278" s="648"/>
      <c r="C278" s="648"/>
      <c r="D278" s="648"/>
      <c r="E278" s="648"/>
      <c r="F278" s="648" t="s">
        <v>24</v>
      </c>
      <c r="G278" s="648"/>
      <c r="H278" s="648" t="s">
        <v>36</v>
      </c>
      <c r="I278" s="648"/>
      <c r="J278" s="648" t="s">
        <v>615</v>
      </c>
      <c r="K278" s="648"/>
      <c r="L278" s="764" t="s">
        <v>195</v>
      </c>
      <c r="M278" s="764"/>
      <c r="N278" s="764"/>
      <c r="O278" s="46"/>
      <c r="P278" s="46"/>
      <c r="Q278" s="46"/>
      <c r="R278" s="73"/>
      <c r="S278" s="46"/>
      <c r="T278" s="72"/>
      <c r="U278" s="72"/>
      <c r="V278" s="72"/>
      <c r="X278" s="64"/>
      <c r="Y278" s="64"/>
      <c r="AD278" s="64"/>
    </row>
    <row r="279" spans="1:30" s="51" customFormat="1" ht="13.8">
      <c r="A279" s="570" t="s">
        <v>43</v>
      </c>
      <c r="B279" s="570"/>
      <c r="C279" s="570"/>
      <c r="D279" s="570"/>
      <c r="E279" s="570"/>
      <c r="F279" s="651" t="s">
        <v>577</v>
      </c>
      <c r="G279" s="652"/>
      <c r="H279" s="662">
        <f>2*4/12</f>
        <v>0.66666666666666663</v>
      </c>
      <c r="I279" s="663"/>
      <c r="J279" s="723">
        <f>'BANCO DE DADOS'!E104</f>
        <v>18.52</v>
      </c>
      <c r="K279" s="723"/>
      <c r="L279" s="723">
        <f>ROUND(H279*J279,2)</f>
        <v>12.35</v>
      </c>
      <c r="M279" s="723"/>
      <c r="N279" s="723"/>
      <c r="O279" s="46"/>
      <c r="P279" s="46"/>
      <c r="Q279" s="46"/>
      <c r="R279" s="73"/>
      <c r="S279" s="46"/>
      <c r="T279" s="72"/>
      <c r="U279" s="72"/>
      <c r="V279" s="72"/>
      <c r="X279" s="64"/>
      <c r="Y279" s="64"/>
      <c r="AD279" s="64"/>
    </row>
    <row r="280" spans="1:30" s="51" customFormat="1" ht="13.8">
      <c r="A280" s="570" t="s">
        <v>44</v>
      </c>
      <c r="B280" s="570"/>
      <c r="C280" s="570"/>
      <c r="D280" s="570"/>
      <c r="E280" s="570"/>
      <c r="F280" s="651" t="s">
        <v>577</v>
      </c>
      <c r="G280" s="652"/>
      <c r="H280" s="662">
        <f>2*4/12</f>
        <v>0.66666666666666663</v>
      </c>
      <c r="I280" s="663"/>
      <c r="J280" s="723">
        <f>'BANCO DE DADOS'!E105</f>
        <v>21.76</v>
      </c>
      <c r="K280" s="723"/>
      <c r="L280" s="723">
        <f>ROUND(H280*J280,2)</f>
        <v>14.51</v>
      </c>
      <c r="M280" s="723"/>
      <c r="N280" s="723"/>
      <c r="O280" s="46"/>
      <c r="P280" s="46"/>
      <c r="Q280" s="46"/>
      <c r="R280" s="73"/>
      <c r="S280" s="46"/>
      <c r="T280" s="72"/>
      <c r="U280" s="72"/>
      <c r="V280" s="72"/>
      <c r="X280" s="64"/>
      <c r="Y280" s="64"/>
      <c r="AD280" s="64"/>
    </row>
    <row r="281" spans="1:30" s="51" customFormat="1" ht="13.8">
      <c r="A281" s="570" t="s">
        <v>45</v>
      </c>
      <c r="B281" s="570"/>
      <c r="C281" s="570"/>
      <c r="D281" s="570"/>
      <c r="E281" s="570"/>
      <c r="F281" s="651" t="s">
        <v>577</v>
      </c>
      <c r="G281" s="652"/>
      <c r="H281" s="662">
        <f>2*4/12</f>
        <v>0.66666666666666663</v>
      </c>
      <c r="I281" s="663"/>
      <c r="J281" s="723">
        <f>'BANCO DE DADOS'!E106</f>
        <v>25.9</v>
      </c>
      <c r="K281" s="723"/>
      <c r="L281" s="723">
        <f>ROUND(H281*J281,2)</f>
        <v>17.27</v>
      </c>
      <c r="M281" s="723"/>
      <c r="N281" s="723"/>
      <c r="O281" s="46"/>
      <c r="P281" s="46"/>
      <c r="Q281" s="46"/>
      <c r="R281" s="73"/>
      <c r="S281" s="46"/>
      <c r="T281" s="72"/>
      <c r="U281" s="72"/>
      <c r="V281" s="72"/>
      <c r="X281" s="64"/>
      <c r="Y281" s="64"/>
      <c r="AD281" s="64"/>
    </row>
    <row r="282" spans="1:30" s="51" customFormat="1" ht="18">
      <c r="A282" s="809" t="s">
        <v>613</v>
      </c>
      <c r="B282" s="809"/>
      <c r="C282" s="809"/>
      <c r="D282" s="809"/>
      <c r="E282" s="809"/>
      <c r="F282" s="809"/>
      <c r="G282" s="809"/>
      <c r="H282" s="809"/>
      <c r="I282" s="809"/>
      <c r="J282" s="809"/>
      <c r="K282" s="809"/>
      <c r="L282" s="611">
        <f>SUM(L279:M281)</f>
        <v>44.129999999999995</v>
      </c>
      <c r="M282" s="611"/>
      <c r="N282" s="611"/>
      <c r="O282" s="46"/>
      <c r="P282" s="46"/>
      <c r="Q282" s="46"/>
      <c r="R282" s="73"/>
      <c r="S282" s="46"/>
      <c r="T282" s="72"/>
      <c r="U282" s="72"/>
      <c r="V282" s="72"/>
      <c r="X282" s="64"/>
      <c r="Y282" s="64"/>
      <c r="AD282" s="64"/>
    </row>
    <row r="283" spans="1:30" s="51" customFormat="1" ht="18">
      <c r="A283" s="113"/>
      <c r="B283" s="113"/>
      <c r="C283" s="113"/>
      <c r="D283" s="113"/>
      <c r="E283" s="113"/>
      <c r="F283" s="113"/>
      <c r="G283" s="113"/>
      <c r="H283" s="114"/>
      <c r="I283" s="108"/>
      <c r="J283" s="108"/>
      <c r="K283" s="46"/>
      <c r="L283" s="46"/>
      <c r="M283" s="46"/>
      <c r="N283" s="46"/>
      <c r="O283" s="46"/>
      <c r="P283" s="46"/>
      <c r="Q283" s="46"/>
      <c r="R283" s="73"/>
      <c r="S283" s="46"/>
      <c r="T283" s="72"/>
      <c r="U283" s="72"/>
      <c r="V283" s="72"/>
      <c r="X283" s="64"/>
      <c r="Y283" s="64"/>
      <c r="AD283" s="64"/>
    </row>
    <row r="284" spans="1:30" s="51" customFormat="1" ht="14.4" thickBot="1">
      <c r="A284" s="46"/>
      <c r="B284" s="44"/>
      <c r="C284" s="45"/>
      <c r="D284" s="46"/>
      <c r="E284" s="45"/>
      <c r="F284" s="46"/>
      <c r="G284" s="46"/>
      <c r="H284" s="46"/>
      <c r="I284" s="46"/>
      <c r="J284" s="46"/>
      <c r="K284" s="46"/>
      <c r="L284" s="46"/>
      <c r="M284" s="46"/>
      <c r="N284" s="46"/>
      <c r="O284" s="46"/>
      <c r="P284" s="46"/>
      <c r="Q284" s="46"/>
      <c r="R284" s="73"/>
      <c r="S284" s="46"/>
      <c r="T284" s="72"/>
      <c r="U284" s="72"/>
      <c r="V284" s="72"/>
      <c r="X284" s="64"/>
      <c r="Y284" s="64"/>
      <c r="AD284" s="64"/>
    </row>
    <row r="285" spans="1:30" s="51" customFormat="1" ht="22.5" customHeight="1">
      <c r="A285" s="604" t="s">
        <v>49</v>
      </c>
      <c r="B285" s="605"/>
      <c r="C285" s="605"/>
      <c r="D285" s="605"/>
      <c r="E285" s="605"/>
      <c r="F285" s="605"/>
      <c r="G285" s="605"/>
      <c r="H285" s="605"/>
      <c r="I285" s="605"/>
      <c r="J285" s="605"/>
      <c r="K285" s="605"/>
      <c r="L285" s="605"/>
      <c r="M285" s="605"/>
      <c r="N285" s="605"/>
      <c r="O285" s="605"/>
      <c r="P285" s="606">
        <f>O30</f>
        <v>252546.53599443374</v>
      </c>
      <c r="Q285" s="606"/>
      <c r="R285" s="606"/>
      <c r="S285" s="607"/>
      <c r="T285" s="72"/>
      <c r="U285" s="72"/>
      <c r="V285" s="72"/>
      <c r="X285" s="64"/>
      <c r="Y285" s="64"/>
      <c r="AD285" s="64"/>
    </row>
    <row r="286" spans="1:30" s="51" customFormat="1" ht="22.5" customHeight="1">
      <c r="A286" s="608" t="s">
        <v>7</v>
      </c>
      <c r="B286" s="609"/>
      <c r="C286" s="609"/>
      <c r="D286" s="609"/>
      <c r="E286" s="609"/>
      <c r="F286" s="609"/>
      <c r="G286" s="609"/>
      <c r="H286" s="609"/>
      <c r="I286" s="609"/>
      <c r="J286" s="609"/>
      <c r="K286" s="609"/>
      <c r="L286" s="609"/>
      <c r="M286" s="609"/>
      <c r="N286" s="610">
        <f>BDI!D21</f>
        <v>0.29432432362637373</v>
      </c>
      <c r="O286" s="610"/>
      <c r="P286" s="611">
        <f>P285*1.2943</f>
        <v>326870.98153759557</v>
      </c>
      <c r="Q286" s="611"/>
      <c r="R286" s="611"/>
      <c r="S286" s="612"/>
      <c r="T286" s="72"/>
      <c r="U286" s="72"/>
      <c r="V286" s="72"/>
      <c r="X286" s="64"/>
      <c r="Y286" s="64"/>
      <c r="AD286" s="64"/>
    </row>
    <row r="287" spans="1:30" s="51" customFormat="1" ht="22.5" customHeight="1">
      <c r="A287" s="613" t="s">
        <v>50</v>
      </c>
      <c r="B287" s="614"/>
      <c r="C287" s="614"/>
      <c r="D287" s="614"/>
      <c r="E287" s="614"/>
      <c r="F287" s="614"/>
      <c r="G287" s="614"/>
      <c r="H287" s="614"/>
      <c r="I287" s="614"/>
      <c r="J287" s="614"/>
      <c r="K287" s="614"/>
      <c r="L287" s="614"/>
      <c r="M287" s="614"/>
      <c r="N287" s="614"/>
      <c r="O287" s="615"/>
      <c r="P287" s="649">
        <f>B190</f>
        <v>1500</v>
      </c>
      <c r="Q287" s="649"/>
      <c r="R287" s="649"/>
      <c r="S287" s="650"/>
      <c r="T287" s="72"/>
      <c r="U287" s="72"/>
      <c r="V287" s="72"/>
      <c r="X287" s="64"/>
      <c r="Y287" s="64"/>
      <c r="AD287" s="64"/>
    </row>
    <row r="288" spans="1:30" s="51" customFormat="1" ht="22.5" customHeight="1" thickBot="1">
      <c r="A288" s="600" t="s">
        <v>51</v>
      </c>
      <c r="B288" s="601"/>
      <c r="C288" s="601"/>
      <c r="D288" s="601"/>
      <c r="E288" s="601"/>
      <c r="F288" s="601"/>
      <c r="G288" s="601"/>
      <c r="H288" s="601"/>
      <c r="I288" s="601"/>
      <c r="J288" s="601"/>
      <c r="K288" s="601"/>
      <c r="L288" s="601"/>
      <c r="M288" s="601"/>
      <c r="N288" s="601"/>
      <c r="O288" s="601"/>
      <c r="P288" s="602">
        <f>P286/P287</f>
        <v>217.91398769173037</v>
      </c>
      <c r="Q288" s="602"/>
      <c r="R288" s="602"/>
      <c r="S288" s="603"/>
      <c r="T288" s="72"/>
      <c r="U288" s="72"/>
      <c r="V288" s="72"/>
      <c r="X288" s="64"/>
      <c r="Y288" s="64"/>
      <c r="AD288" s="64"/>
    </row>
    <row r="289" spans="10:11" ht="24" customHeight="1">
      <c r="J289" s="795"/>
      <c r="K289" s="795"/>
    </row>
  </sheetData>
  <mergeCells count="976">
    <mergeCell ref="I255:K255"/>
    <mergeCell ref="D250:H250"/>
    <mergeCell ref="D251:H251"/>
    <mergeCell ref="D252:H252"/>
    <mergeCell ref="D253:H253"/>
    <mergeCell ref="D254:H254"/>
    <mergeCell ref="D255:H255"/>
    <mergeCell ref="O248:Q248"/>
    <mergeCell ref="A239:Q239"/>
    <mergeCell ref="O240:Q240"/>
    <mergeCell ref="I250:K250"/>
    <mergeCell ref="I251:K251"/>
    <mergeCell ref="A250:C255"/>
    <mergeCell ref="A248:N248"/>
    <mergeCell ref="M247:N247"/>
    <mergeCell ref="O247:Q247"/>
    <mergeCell ref="K245:L245"/>
    <mergeCell ref="O243:Q243"/>
    <mergeCell ref="K244:L244"/>
    <mergeCell ref="M244:N244"/>
    <mergeCell ref="O244:Q244"/>
    <mergeCell ref="I245:J245"/>
    <mergeCell ref="A246:H246"/>
    <mergeCell ref="A247:H247"/>
    <mergeCell ref="A225:D225"/>
    <mergeCell ref="A226:D226"/>
    <mergeCell ref="A227:D227"/>
    <mergeCell ref="A187:S187"/>
    <mergeCell ref="A257:I257"/>
    <mergeCell ref="A258:F258"/>
    <mergeCell ref="A267:H267"/>
    <mergeCell ref="A272:J272"/>
    <mergeCell ref="A206:G206"/>
    <mergeCell ref="K246:L246"/>
    <mergeCell ref="M246:N246"/>
    <mergeCell ref="O246:Q246"/>
    <mergeCell ref="K247:L247"/>
    <mergeCell ref="M245:N245"/>
    <mergeCell ref="O245:Q245"/>
    <mergeCell ref="A268:F268"/>
    <mergeCell ref="A269:F269"/>
    <mergeCell ref="A270:F270"/>
    <mergeCell ref="G269:H269"/>
    <mergeCell ref="I247:J247"/>
    <mergeCell ref="G261:I261"/>
    <mergeCell ref="I254:K254"/>
    <mergeCell ref="A262:F262"/>
    <mergeCell ref="M240:N240"/>
    <mergeCell ref="M217:N217"/>
    <mergeCell ref="M218:N218"/>
    <mergeCell ref="I218:J218"/>
    <mergeCell ref="O220:P220"/>
    <mergeCell ref="A224:S224"/>
    <mergeCell ref="E225:F225"/>
    <mergeCell ref="I246:J246"/>
    <mergeCell ref="A242:H242"/>
    <mergeCell ref="A243:H243"/>
    <mergeCell ref="I242:J242"/>
    <mergeCell ref="A241:H241"/>
    <mergeCell ref="I240:J240"/>
    <mergeCell ref="I241:J241"/>
    <mergeCell ref="I219:J219"/>
    <mergeCell ref="K219:L219"/>
    <mergeCell ref="M241:N241"/>
    <mergeCell ref="A240:H240"/>
    <mergeCell ref="K240:L240"/>
    <mergeCell ref="A245:H245"/>
    <mergeCell ref="A220:H220"/>
    <mergeCell ref="A221:H221"/>
    <mergeCell ref="A244:H244"/>
    <mergeCell ref="E226:F226"/>
    <mergeCell ref="E227:F227"/>
    <mergeCell ref="O218:P218"/>
    <mergeCell ref="O219:P219"/>
    <mergeCell ref="O241:Q241"/>
    <mergeCell ref="I244:J244"/>
    <mergeCell ref="K221:L221"/>
    <mergeCell ref="M221:N221"/>
    <mergeCell ref="O221:P221"/>
    <mergeCell ref="I243:J243"/>
    <mergeCell ref="K242:L242"/>
    <mergeCell ref="M242:N242"/>
    <mergeCell ref="O242:Q242"/>
    <mergeCell ref="K220:L220"/>
    <mergeCell ref="M220:N220"/>
    <mergeCell ref="K241:L241"/>
    <mergeCell ref="K243:L243"/>
    <mergeCell ref="M243:N243"/>
    <mergeCell ref="H234:I234"/>
    <mergeCell ref="A277:N277"/>
    <mergeCell ref="F212:G212"/>
    <mergeCell ref="A208:E208"/>
    <mergeCell ref="A209:E209"/>
    <mergeCell ref="I217:J217"/>
    <mergeCell ref="A217:H217"/>
    <mergeCell ref="A218:H218"/>
    <mergeCell ref="A219:H219"/>
    <mergeCell ref="H235:I235"/>
    <mergeCell ref="A234:G234"/>
    <mergeCell ref="A235:G235"/>
    <mergeCell ref="A232:I232"/>
    <mergeCell ref="I221:J221"/>
    <mergeCell ref="M216:N216"/>
    <mergeCell ref="A215:S215"/>
    <mergeCell ref="H236:I236"/>
    <mergeCell ref="A236:G236"/>
    <mergeCell ref="K217:L217"/>
    <mergeCell ref="G270:H270"/>
    <mergeCell ref="H226:I226"/>
    <mergeCell ref="H227:I227"/>
    <mergeCell ref="H225:Q225"/>
    <mergeCell ref="N227:Q227"/>
    <mergeCell ref="B7:S7"/>
    <mergeCell ref="L282:N282"/>
    <mergeCell ref="J280:K280"/>
    <mergeCell ref="A279:E279"/>
    <mergeCell ref="A280:E280"/>
    <mergeCell ref="A281:E281"/>
    <mergeCell ref="B15:N15"/>
    <mergeCell ref="A275:G275"/>
    <mergeCell ref="F278:G278"/>
    <mergeCell ref="H278:I278"/>
    <mergeCell ref="B20:N20"/>
    <mergeCell ref="B21:N21"/>
    <mergeCell ref="I274:J274"/>
    <mergeCell ref="L278:N278"/>
    <mergeCell ref="H275:J275"/>
    <mergeCell ref="I273:J273"/>
    <mergeCell ref="N228:Q228"/>
    <mergeCell ref="E228:F228"/>
    <mergeCell ref="I198:K198"/>
    <mergeCell ref="B23:N23"/>
    <mergeCell ref="L280:N280"/>
    <mergeCell ref="A282:K282"/>
    <mergeCell ref="F279:G279"/>
    <mergeCell ref="F280:G280"/>
    <mergeCell ref="N229:Q229"/>
    <mergeCell ref="H229:M229"/>
    <mergeCell ref="A233:G233"/>
    <mergeCell ref="K226:M226"/>
    <mergeCell ref="K227:M227"/>
    <mergeCell ref="M206:P206"/>
    <mergeCell ref="A222:P222"/>
    <mergeCell ref="K216:L216"/>
    <mergeCell ref="K218:L218"/>
    <mergeCell ref="A228:D228"/>
    <mergeCell ref="H233:I233"/>
    <mergeCell ref="A207:G207"/>
    <mergeCell ref="F208:G208"/>
    <mergeCell ref="M219:N219"/>
    <mergeCell ref="I220:J220"/>
    <mergeCell ref="F209:G209"/>
    <mergeCell ref="F210:G210"/>
    <mergeCell ref="F211:G211"/>
    <mergeCell ref="I208:N208"/>
    <mergeCell ref="I210:J210"/>
    <mergeCell ref="I211:J211"/>
    <mergeCell ref="Q216:S216"/>
    <mergeCell ref="Q217:S221"/>
    <mergeCell ref="Q222:S222"/>
    <mergeCell ref="K228:M228"/>
    <mergeCell ref="N226:Q226"/>
    <mergeCell ref="B22:N22"/>
    <mergeCell ref="B24:N24"/>
    <mergeCell ref="B25:N25"/>
    <mergeCell ref="B26:N26"/>
    <mergeCell ref="B27:N27"/>
    <mergeCell ref="B28:N28"/>
    <mergeCell ref="O22:Q22"/>
    <mergeCell ref="O23:Q23"/>
    <mergeCell ref="B190:D190"/>
    <mergeCell ref="I199:K199"/>
    <mergeCell ref="I177:J177"/>
    <mergeCell ref="I178:J178"/>
    <mergeCell ref="I179:J179"/>
    <mergeCell ref="I180:J180"/>
    <mergeCell ref="I181:J181"/>
    <mergeCell ref="I182:J182"/>
    <mergeCell ref="I183:J183"/>
    <mergeCell ref="I184:J184"/>
    <mergeCell ref="I185:J185"/>
    <mergeCell ref="F185:G185"/>
    <mergeCell ref="O216:P216"/>
    <mergeCell ref="O217:P217"/>
    <mergeCell ref="I216:J216"/>
    <mergeCell ref="H237:I237"/>
    <mergeCell ref="A237:G237"/>
    <mergeCell ref="B18:N18"/>
    <mergeCell ref="B19:N19"/>
    <mergeCell ref="O18:Q18"/>
    <mergeCell ref="O19:Q19"/>
    <mergeCell ref="O20:Q20"/>
    <mergeCell ref="A216:H216"/>
    <mergeCell ref="A210:E210"/>
    <mergeCell ref="A211:E211"/>
    <mergeCell ref="A212:E212"/>
    <mergeCell ref="I201:P201"/>
    <mergeCell ref="K211:N211"/>
    <mergeCell ref="K212:N212"/>
    <mergeCell ref="K210:N210"/>
    <mergeCell ref="I202:P202"/>
    <mergeCell ref="M203:P203"/>
    <mergeCell ref="M204:P204"/>
    <mergeCell ref="E198:G198"/>
    <mergeCell ref="E199:G199"/>
    <mergeCell ref="I212:J212"/>
    <mergeCell ref="L60:M60"/>
    <mergeCell ref="N60:O60"/>
    <mergeCell ref="F213:G213"/>
    <mergeCell ref="K176:L176"/>
    <mergeCell ref="P94:Q94"/>
    <mergeCell ref="R94:S94"/>
    <mergeCell ref="A95:I95"/>
    <mergeCell ref="J95:K95"/>
    <mergeCell ref="L95:M95"/>
    <mergeCell ref="N95:O95"/>
    <mergeCell ref="P95:Q95"/>
    <mergeCell ref="R95:S95"/>
    <mergeCell ref="D165:E165"/>
    <mergeCell ref="I209:J209"/>
    <mergeCell ref="M205:P205"/>
    <mergeCell ref="T178:U178"/>
    <mergeCell ref="T185:U185"/>
    <mergeCell ref="T177:U177"/>
    <mergeCell ref="T179:U179"/>
    <mergeCell ref="T180:U180"/>
    <mergeCell ref="M176:N176"/>
    <mergeCell ref="T181:U181"/>
    <mergeCell ref="T182:U182"/>
    <mergeCell ref="T183:U183"/>
    <mergeCell ref="T184:U184"/>
    <mergeCell ref="A2:S2"/>
    <mergeCell ref="A3:S3"/>
    <mergeCell ref="A4:S4"/>
    <mergeCell ref="R177:S177"/>
    <mergeCell ref="R69:S69"/>
    <mergeCell ref="R70:S70"/>
    <mergeCell ref="R92:S92"/>
    <mergeCell ref="N93:O93"/>
    <mergeCell ref="P93:Q93"/>
    <mergeCell ref="R93:S93"/>
    <mergeCell ref="D166:E166"/>
    <mergeCell ref="F166:G166"/>
    <mergeCell ref="D167:E167"/>
    <mergeCell ref="R23:S23"/>
    <mergeCell ref="R27:S27"/>
    <mergeCell ref="O24:Q24"/>
    <mergeCell ref="O25:Q25"/>
    <mergeCell ref="O26:Q26"/>
    <mergeCell ref="O27:Q27"/>
    <mergeCell ref="J93:K93"/>
    <mergeCell ref="L92:M92"/>
    <mergeCell ref="A93:I93"/>
    <mergeCell ref="F165:G165"/>
    <mergeCell ref="O10:Q10"/>
    <mergeCell ref="P285:S285"/>
    <mergeCell ref="P286:S286"/>
    <mergeCell ref="G263:I263"/>
    <mergeCell ref="G260:I260"/>
    <mergeCell ref="I252:K252"/>
    <mergeCell ref="I253:K253"/>
    <mergeCell ref="P287:S287"/>
    <mergeCell ref="P288:S288"/>
    <mergeCell ref="A285:O285"/>
    <mergeCell ref="N286:O286"/>
    <mergeCell ref="A286:M286"/>
    <mergeCell ref="G264:I264"/>
    <mergeCell ref="J278:K278"/>
    <mergeCell ref="J279:K279"/>
    <mergeCell ref="A273:H273"/>
    <mergeCell ref="A274:H274"/>
    <mergeCell ref="L281:N281"/>
    <mergeCell ref="H281:I281"/>
    <mergeCell ref="F281:G281"/>
    <mergeCell ref="H279:I279"/>
    <mergeCell ref="H280:I280"/>
    <mergeCell ref="J281:K281"/>
    <mergeCell ref="L279:N279"/>
    <mergeCell ref="G268:H268"/>
    <mergeCell ref="J289:K289"/>
    <mergeCell ref="G259:I259"/>
    <mergeCell ref="G265:I265"/>
    <mergeCell ref="G262:I262"/>
    <mergeCell ref="A288:O288"/>
    <mergeCell ref="A287:O287"/>
    <mergeCell ref="A265:F265"/>
    <mergeCell ref="A259:F259"/>
    <mergeCell ref="A260:F260"/>
    <mergeCell ref="A261:F261"/>
    <mergeCell ref="A263:F263"/>
    <mergeCell ref="A264:F264"/>
    <mergeCell ref="A278:E278"/>
    <mergeCell ref="K209:N209"/>
    <mergeCell ref="P69:Q69"/>
    <mergeCell ref="P70:Q70"/>
    <mergeCell ref="P71:Q71"/>
    <mergeCell ref="A73:I73"/>
    <mergeCell ref="J73:K73"/>
    <mergeCell ref="N92:O92"/>
    <mergeCell ref="P92:Q92"/>
    <mergeCell ref="B38:Q38"/>
    <mergeCell ref="A42:Q42"/>
    <mergeCell ref="A51:I51"/>
    <mergeCell ref="J51:K51"/>
    <mergeCell ref="L51:M51"/>
    <mergeCell ref="N51:O51"/>
    <mergeCell ref="P51:Q51"/>
    <mergeCell ref="P58:Q58"/>
    <mergeCell ref="A60:I60"/>
    <mergeCell ref="J60:K60"/>
    <mergeCell ref="L73:M73"/>
    <mergeCell ref="N73:O73"/>
    <mergeCell ref="P73:Q73"/>
    <mergeCell ref="A74:I74"/>
    <mergeCell ref="J74:K74"/>
    <mergeCell ref="P60:Q60"/>
    <mergeCell ref="A8:S8"/>
    <mergeCell ref="R10:S10"/>
    <mergeCell ref="R11:S11"/>
    <mergeCell ref="R12:S12"/>
    <mergeCell ref="R14:S14"/>
    <mergeCell ref="R13:S13"/>
    <mergeCell ref="B10:N10"/>
    <mergeCell ref="B11:N11"/>
    <mergeCell ref="B12:N12"/>
    <mergeCell ref="B13:N13"/>
    <mergeCell ref="O11:Q11"/>
    <mergeCell ref="O12:Q12"/>
    <mergeCell ref="O13:Q13"/>
    <mergeCell ref="O14:Q14"/>
    <mergeCell ref="B14:N14"/>
    <mergeCell ref="R15:S15"/>
    <mergeCell ref="R17:S17"/>
    <mergeCell ref="R18:S18"/>
    <mergeCell ref="O17:Q17"/>
    <mergeCell ref="R19:S19"/>
    <mergeCell ref="A9:S9"/>
    <mergeCell ref="O15:Q15"/>
    <mergeCell ref="O16:Q16"/>
    <mergeCell ref="B16:N16"/>
    <mergeCell ref="B17:N17"/>
    <mergeCell ref="R20:S20"/>
    <mergeCell ref="R24:S24"/>
    <mergeCell ref="R26:S26"/>
    <mergeCell ref="R25:S25"/>
    <mergeCell ref="R28:S28"/>
    <mergeCell ref="R16:S16"/>
    <mergeCell ref="B36:Q36"/>
    <mergeCell ref="R36:S36"/>
    <mergeCell ref="O21:Q21"/>
    <mergeCell ref="O28:Q28"/>
    <mergeCell ref="O29:Q29"/>
    <mergeCell ref="R22:S22"/>
    <mergeCell ref="R21:S21"/>
    <mergeCell ref="R29:S29"/>
    <mergeCell ref="R30:S30"/>
    <mergeCell ref="O30:Q30"/>
    <mergeCell ref="A30:N30"/>
    <mergeCell ref="A32:S32"/>
    <mergeCell ref="A33:Q33"/>
    <mergeCell ref="R33:S33"/>
    <mergeCell ref="R34:S34"/>
    <mergeCell ref="B34:Q34"/>
    <mergeCell ref="B29:N29"/>
    <mergeCell ref="R38:S38"/>
    <mergeCell ref="B39:Q39"/>
    <mergeCell ref="R39:S39"/>
    <mergeCell ref="A40:Q40"/>
    <mergeCell ref="B35:Q35"/>
    <mergeCell ref="R35:S35"/>
    <mergeCell ref="B37:Q37"/>
    <mergeCell ref="R37:S37"/>
    <mergeCell ref="R40:S40"/>
    <mergeCell ref="R42:S42"/>
    <mergeCell ref="B43:Q43"/>
    <mergeCell ref="R43:S43"/>
    <mergeCell ref="B44:Q44"/>
    <mergeCell ref="R44:S44"/>
    <mergeCell ref="A45:Q45"/>
    <mergeCell ref="R45:S45"/>
    <mergeCell ref="A50:I50"/>
    <mergeCell ref="J50:K50"/>
    <mergeCell ref="L50:M50"/>
    <mergeCell ref="N50:O50"/>
    <mergeCell ref="P50:Q50"/>
    <mergeCell ref="R50:S50"/>
    <mergeCell ref="R51:S51"/>
    <mergeCell ref="A52:I52"/>
    <mergeCell ref="J52:K52"/>
    <mergeCell ref="L52:M52"/>
    <mergeCell ref="N52:O52"/>
    <mergeCell ref="P52:Q52"/>
    <mergeCell ref="R52:S52"/>
    <mergeCell ref="P54:Q54"/>
    <mergeCell ref="R54:S54"/>
    <mergeCell ref="A53:I53"/>
    <mergeCell ref="J53:K53"/>
    <mergeCell ref="L53:M53"/>
    <mergeCell ref="N53:O53"/>
    <mergeCell ref="P53:Q53"/>
    <mergeCell ref="R53:S53"/>
    <mergeCell ref="A54:I54"/>
    <mergeCell ref="J54:K54"/>
    <mergeCell ref="L54:M54"/>
    <mergeCell ref="N54:O54"/>
    <mergeCell ref="P55:Q55"/>
    <mergeCell ref="R55:S55"/>
    <mergeCell ref="A55:O55"/>
    <mergeCell ref="F169:G169"/>
    <mergeCell ref="L93:M93"/>
    <mergeCell ref="A94:O94"/>
    <mergeCell ref="N69:O69"/>
    <mergeCell ref="N70:O70"/>
    <mergeCell ref="A59:I59"/>
    <mergeCell ref="J59:K59"/>
    <mergeCell ref="N58:O58"/>
    <mergeCell ref="J71:K71"/>
    <mergeCell ref="L71:M71"/>
    <mergeCell ref="N71:O71"/>
    <mergeCell ref="A92:I92"/>
    <mergeCell ref="A58:I58"/>
    <mergeCell ref="J58:K58"/>
    <mergeCell ref="L58:M58"/>
    <mergeCell ref="A56:I56"/>
    <mergeCell ref="J56:K56"/>
    <mergeCell ref="L56:M56"/>
    <mergeCell ref="N56:O56"/>
    <mergeCell ref="P56:Q56"/>
    <mergeCell ref="J92:K92"/>
    <mergeCell ref="R56:S56"/>
    <mergeCell ref="A57:I57"/>
    <mergeCell ref="J57:K57"/>
    <mergeCell ref="L57:M57"/>
    <mergeCell ref="N57:O57"/>
    <mergeCell ref="P57:Q57"/>
    <mergeCell ref="R57:S57"/>
    <mergeCell ref="L59:M59"/>
    <mergeCell ref="N59:O59"/>
    <mergeCell ref="P59:Q59"/>
    <mergeCell ref="R59:S59"/>
    <mergeCell ref="R58:S58"/>
    <mergeCell ref="R60:S60"/>
    <mergeCell ref="A61:I61"/>
    <mergeCell ref="J61:K61"/>
    <mergeCell ref="L61:M61"/>
    <mergeCell ref="N61:O61"/>
    <mergeCell ref="P61:Q61"/>
    <mergeCell ref="R61:S61"/>
    <mergeCell ref="A62:I62"/>
    <mergeCell ref="J62:K62"/>
    <mergeCell ref="L62:M62"/>
    <mergeCell ref="N62:O62"/>
    <mergeCell ref="P62:Q62"/>
    <mergeCell ref="R62:S62"/>
    <mergeCell ref="L63:M63"/>
    <mergeCell ref="N63:O63"/>
    <mergeCell ref="P63:Q63"/>
    <mergeCell ref="R63:S63"/>
    <mergeCell ref="A64:I64"/>
    <mergeCell ref="J64:K64"/>
    <mergeCell ref="L64:M64"/>
    <mergeCell ref="N64:O64"/>
    <mergeCell ref="P64:Q64"/>
    <mergeCell ref="R64:S64"/>
    <mergeCell ref="A63:I63"/>
    <mergeCell ref="J63:K63"/>
    <mergeCell ref="P65:Q65"/>
    <mergeCell ref="R65:S65"/>
    <mergeCell ref="A65:O65"/>
    <mergeCell ref="D171:E171"/>
    <mergeCell ref="F171:G171"/>
    <mergeCell ref="D172:E172"/>
    <mergeCell ref="A66:I66"/>
    <mergeCell ref="J66:K66"/>
    <mergeCell ref="L66:M66"/>
    <mergeCell ref="N66:O66"/>
    <mergeCell ref="P66:Q66"/>
    <mergeCell ref="R66:S66"/>
    <mergeCell ref="P67:Q67"/>
    <mergeCell ref="R67:S67"/>
    <mergeCell ref="A67:O67"/>
    <mergeCell ref="F172:G172"/>
    <mergeCell ref="R91:S91"/>
    <mergeCell ref="A69:I69"/>
    <mergeCell ref="J69:K69"/>
    <mergeCell ref="L69:M69"/>
    <mergeCell ref="R89:S89"/>
    <mergeCell ref="P90:Q90"/>
    <mergeCell ref="R90:S90"/>
    <mergeCell ref="A91:I91"/>
    <mergeCell ref="J91:K91"/>
    <mergeCell ref="L91:M91"/>
    <mergeCell ref="N91:O91"/>
    <mergeCell ref="P91:Q91"/>
    <mergeCell ref="A203:C203"/>
    <mergeCell ref="A204:C204"/>
    <mergeCell ref="A71:I71"/>
    <mergeCell ref="F167:G167"/>
    <mergeCell ref="D168:E168"/>
    <mergeCell ref="F168:G168"/>
    <mergeCell ref="D169:E169"/>
    <mergeCell ref="A75:O75"/>
    <mergeCell ref="A77:I77"/>
    <mergeCell ref="J77:K77"/>
    <mergeCell ref="L77:M77"/>
    <mergeCell ref="N77:O77"/>
    <mergeCell ref="P77:Q77"/>
    <mergeCell ref="A80:I80"/>
    <mergeCell ref="J80:K80"/>
    <mergeCell ref="L80:M80"/>
    <mergeCell ref="N80:O80"/>
    <mergeCell ref="P80:Q80"/>
    <mergeCell ref="A83:I83"/>
    <mergeCell ref="J83:K83"/>
    <mergeCell ref="J70:K70"/>
    <mergeCell ref="L70:M70"/>
    <mergeCell ref="L74:M74"/>
    <mergeCell ref="N74:O74"/>
    <mergeCell ref="P74:Q74"/>
    <mergeCell ref="R74:S74"/>
    <mergeCell ref="P75:Q75"/>
    <mergeCell ref="R75:S75"/>
    <mergeCell ref="A76:I76"/>
    <mergeCell ref="J76:K76"/>
    <mergeCell ref="L76:M76"/>
    <mergeCell ref="N76:O76"/>
    <mergeCell ref="P76:Q76"/>
    <mergeCell ref="R76:S76"/>
    <mergeCell ref="A70:I70"/>
    <mergeCell ref="R71:S71"/>
    <mergeCell ref="R73:S73"/>
    <mergeCell ref="R77:S77"/>
    <mergeCell ref="A78:I78"/>
    <mergeCell ref="J78:K78"/>
    <mergeCell ref="L78:M78"/>
    <mergeCell ref="N78:O78"/>
    <mergeCell ref="P78:Q78"/>
    <mergeCell ref="R78:S78"/>
    <mergeCell ref="A79:I79"/>
    <mergeCell ref="J79:K79"/>
    <mergeCell ref="L79:M79"/>
    <mergeCell ref="N79:O79"/>
    <mergeCell ref="P79:Q79"/>
    <mergeCell ref="R79:S79"/>
    <mergeCell ref="J84:K84"/>
    <mergeCell ref="L84:M84"/>
    <mergeCell ref="N84:O84"/>
    <mergeCell ref="P84:Q84"/>
    <mergeCell ref="R84:S84"/>
    <mergeCell ref="R80:S80"/>
    <mergeCell ref="A81:I81"/>
    <mergeCell ref="J81:K81"/>
    <mergeCell ref="L81:M81"/>
    <mergeCell ref="N81:O81"/>
    <mergeCell ref="P81:Q81"/>
    <mergeCell ref="R81:S81"/>
    <mergeCell ref="A82:I82"/>
    <mergeCell ref="J82:K82"/>
    <mergeCell ref="L82:M82"/>
    <mergeCell ref="N82:O82"/>
    <mergeCell ref="P82:Q82"/>
    <mergeCell ref="R82:S82"/>
    <mergeCell ref="A87:O87"/>
    <mergeCell ref="P87:Q87"/>
    <mergeCell ref="R87:S87"/>
    <mergeCell ref="A47:S47"/>
    <mergeCell ref="A72:I72"/>
    <mergeCell ref="J72:K72"/>
    <mergeCell ref="L72:M72"/>
    <mergeCell ref="N72:O72"/>
    <mergeCell ref="P72:Q72"/>
    <mergeCell ref="R72:S72"/>
    <mergeCell ref="A85:O85"/>
    <mergeCell ref="P85:Q85"/>
    <mergeCell ref="R85:S85"/>
    <mergeCell ref="A86:I86"/>
    <mergeCell ref="J86:K86"/>
    <mergeCell ref="L86:M86"/>
    <mergeCell ref="N86:O86"/>
    <mergeCell ref="P86:Q86"/>
    <mergeCell ref="R86:S86"/>
    <mergeCell ref="L83:M83"/>
    <mergeCell ref="N83:O83"/>
    <mergeCell ref="P83:Q83"/>
    <mergeCell ref="R83:S83"/>
    <mergeCell ref="A84:I84"/>
    <mergeCell ref="H176:J176"/>
    <mergeCell ref="F177:G177"/>
    <mergeCell ref="F178:G178"/>
    <mergeCell ref="F179:G179"/>
    <mergeCell ref="F180:G180"/>
    <mergeCell ref="F181:G181"/>
    <mergeCell ref="F182:G182"/>
    <mergeCell ref="F183:G183"/>
    <mergeCell ref="F184:G184"/>
    <mergeCell ref="A176:G176"/>
    <mergeCell ref="A177:E177"/>
    <mergeCell ref="A178:E178"/>
    <mergeCell ref="A179:E179"/>
    <mergeCell ref="A180:E180"/>
    <mergeCell ref="A181:E181"/>
    <mergeCell ref="A182:E182"/>
    <mergeCell ref="A183:E183"/>
    <mergeCell ref="A184:E184"/>
    <mergeCell ref="A185:E185"/>
    <mergeCell ref="A89:I89"/>
    <mergeCell ref="J89:K89"/>
    <mergeCell ref="L89:M89"/>
    <mergeCell ref="N89:O89"/>
    <mergeCell ref="P89:Q89"/>
    <mergeCell ref="A90:I90"/>
    <mergeCell ref="J90:K90"/>
    <mergeCell ref="L90:M90"/>
    <mergeCell ref="N90:O90"/>
    <mergeCell ref="A96:I96"/>
    <mergeCell ref="J96:K96"/>
    <mergeCell ref="L96:M96"/>
    <mergeCell ref="N96:O96"/>
    <mergeCell ref="P96:Q96"/>
    <mergeCell ref="R96:S96"/>
    <mergeCell ref="A97:I97"/>
    <mergeCell ref="J97:K97"/>
    <mergeCell ref="L97:M97"/>
    <mergeCell ref="N97:O97"/>
    <mergeCell ref="P97:Q97"/>
    <mergeCell ref="R97:S97"/>
    <mergeCell ref="A98:I98"/>
    <mergeCell ref="J98:K98"/>
    <mergeCell ref="L98:M98"/>
    <mergeCell ref="N98:O98"/>
    <mergeCell ref="P98:Q98"/>
    <mergeCell ref="R98:S98"/>
    <mergeCell ref="A99:I99"/>
    <mergeCell ref="J99:K99"/>
    <mergeCell ref="L99:M99"/>
    <mergeCell ref="N99:O99"/>
    <mergeCell ref="P99:Q99"/>
    <mergeCell ref="R99:S99"/>
    <mergeCell ref="A100:I100"/>
    <mergeCell ref="J100:K100"/>
    <mergeCell ref="L100:M100"/>
    <mergeCell ref="N100:O100"/>
    <mergeCell ref="P100:Q100"/>
    <mergeCell ref="R100:S100"/>
    <mergeCell ref="A101:I101"/>
    <mergeCell ref="J101:K101"/>
    <mergeCell ref="L101:M101"/>
    <mergeCell ref="N101:O101"/>
    <mergeCell ref="P101:Q101"/>
    <mergeCell ref="R101:S101"/>
    <mergeCell ref="A102:I102"/>
    <mergeCell ref="J102:K102"/>
    <mergeCell ref="L102:M102"/>
    <mergeCell ref="N102:O102"/>
    <mergeCell ref="P102:Q102"/>
    <mergeCell ref="R102:S102"/>
    <mergeCell ref="A103:I103"/>
    <mergeCell ref="J103:K103"/>
    <mergeCell ref="L103:M103"/>
    <mergeCell ref="N103:O103"/>
    <mergeCell ref="P103:Q103"/>
    <mergeCell ref="R103:S103"/>
    <mergeCell ref="A104:O104"/>
    <mergeCell ref="P104:Q104"/>
    <mergeCell ref="R104:S104"/>
    <mergeCell ref="A105:I105"/>
    <mergeCell ref="J105:K105"/>
    <mergeCell ref="L105:M105"/>
    <mergeCell ref="N105:O105"/>
    <mergeCell ref="P105:Q105"/>
    <mergeCell ref="R105:S105"/>
    <mergeCell ref="A106:O106"/>
    <mergeCell ref="P106:Q106"/>
    <mergeCell ref="R106:S106"/>
    <mergeCell ref="A109:I109"/>
    <mergeCell ref="J109:K109"/>
    <mergeCell ref="L109:M109"/>
    <mergeCell ref="N109:O109"/>
    <mergeCell ref="P109:Q109"/>
    <mergeCell ref="R109:S109"/>
    <mergeCell ref="A110:I110"/>
    <mergeCell ref="J110:K110"/>
    <mergeCell ref="L110:M110"/>
    <mergeCell ref="N110:O110"/>
    <mergeCell ref="P110:Q110"/>
    <mergeCell ref="R110:S110"/>
    <mergeCell ref="A111:I111"/>
    <mergeCell ref="J111:K111"/>
    <mergeCell ref="L111:M111"/>
    <mergeCell ref="N111:O111"/>
    <mergeCell ref="P111:Q111"/>
    <mergeCell ref="R111:S111"/>
    <mergeCell ref="A112:I112"/>
    <mergeCell ref="J112:K112"/>
    <mergeCell ref="L112:M112"/>
    <mergeCell ref="N112:O112"/>
    <mergeCell ref="P112:Q112"/>
    <mergeCell ref="R112:S112"/>
    <mergeCell ref="A113:I113"/>
    <mergeCell ref="J113:K113"/>
    <mergeCell ref="L113:M113"/>
    <mergeCell ref="N113:O113"/>
    <mergeCell ref="P113:Q113"/>
    <mergeCell ref="R113:S113"/>
    <mergeCell ref="A114:I114"/>
    <mergeCell ref="J114:K114"/>
    <mergeCell ref="L114:M114"/>
    <mergeCell ref="N114:O114"/>
    <mergeCell ref="P114:Q114"/>
    <mergeCell ref="R114:S114"/>
    <mergeCell ref="A115:O115"/>
    <mergeCell ref="P115:Q115"/>
    <mergeCell ref="R115:S115"/>
    <mergeCell ref="A116:I116"/>
    <mergeCell ref="J116:K116"/>
    <mergeCell ref="L116:M116"/>
    <mergeCell ref="N116:O116"/>
    <mergeCell ref="P116:Q116"/>
    <mergeCell ref="R116:S116"/>
    <mergeCell ref="A117:I117"/>
    <mergeCell ref="J117:K117"/>
    <mergeCell ref="L117:M117"/>
    <mergeCell ref="N117:O117"/>
    <mergeCell ref="P117:Q117"/>
    <mergeCell ref="R117:S117"/>
    <mergeCell ref="A118:I118"/>
    <mergeCell ref="J118:K118"/>
    <mergeCell ref="L118:M118"/>
    <mergeCell ref="N118:O118"/>
    <mergeCell ref="P118:Q118"/>
    <mergeCell ref="R118:S118"/>
    <mergeCell ref="A119:I119"/>
    <mergeCell ref="J119:K119"/>
    <mergeCell ref="L119:M119"/>
    <mergeCell ref="N119:O119"/>
    <mergeCell ref="P119:Q119"/>
    <mergeCell ref="R119:S119"/>
    <mergeCell ref="A120:I120"/>
    <mergeCell ref="J120:K120"/>
    <mergeCell ref="L120:M120"/>
    <mergeCell ref="N120:O120"/>
    <mergeCell ref="P120:Q120"/>
    <mergeCell ref="R120:S120"/>
    <mergeCell ref="A121:I121"/>
    <mergeCell ref="J121:K121"/>
    <mergeCell ref="L121:M121"/>
    <mergeCell ref="N121:O121"/>
    <mergeCell ref="P121:Q121"/>
    <mergeCell ref="R121:S121"/>
    <mergeCell ref="A122:I122"/>
    <mergeCell ref="J122:K122"/>
    <mergeCell ref="L122:M122"/>
    <mergeCell ref="N122:O122"/>
    <mergeCell ref="P122:Q122"/>
    <mergeCell ref="R122:S122"/>
    <mergeCell ref="A123:I123"/>
    <mergeCell ref="J123:K123"/>
    <mergeCell ref="L123:M123"/>
    <mergeCell ref="N123:O123"/>
    <mergeCell ref="P123:Q123"/>
    <mergeCell ref="R123:S123"/>
    <mergeCell ref="A124:I124"/>
    <mergeCell ref="J124:K124"/>
    <mergeCell ref="L124:M124"/>
    <mergeCell ref="N124:O124"/>
    <mergeCell ref="P124:Q124"/>
    <mergeCell ref="R124:S124"/>
    <mergeCell ref="A125:O125"/>
    <mergeCell ref="P125:Q125"/>
    <mergeCell ref="R125:S125"/>
    <mergeCell ref="A126:I126"/>
    <mergeCell ref="J126:K126"/>
    <mergeCell ref="L126:M126"/>
    <mergeCell ref="N126:O126"/>
    <mergeCell ref="P126:Q126"/>
    <mergeCell ref="R126:S126"/>
    <mergeCell ref="A127:O127"/>
    <mergeCell ref="P127:Q127"/>
    <mergeCell ref="R127:S127"/>
    <mergeCell ref="A129:I129"/>
    <mergeCell ref="J129:K129"/>
    <mergeCell ref="L129:M129"/>
    <mergeCell ref="N129:O129"/>
    <mergeCell ref="P129:Q129"/>
    <mergeCell ref="R129:S129"/>
    <mergeCell ref="A130:I130"/>
    <mergeCell ref="J130:K130"/>
    <mergeCell ref="L130:M130"/>
    <mergeCell ref="N130:O130"/>
    <mergeCell ref="P130:Q130"/>
    <mergeCell ref="R130:S130"/>
    <mergeCell ref="A148:I148"/>
    <mergeCell ref="J148:K148"/>
    <mergeCell ref="L148:M148"/>
    <mergeCell ref="N148:O148"/>
    <mergeCell ref="P148:Q148"/>
    <mergeCell ref="R148:S148"/>
    <mergeCell ref="A131:I131"/>
    <mergeCell ref="J131:K131"/>
    <mergeCell ref="L131:M131"/>
    <mergeCell ref="N131:O131"/>
    <mergeCell ref="P131:Q131"/>
    <mergeCell ref="R131:S131"/>
    <mergeCell ref="A132:I132"/>
    <mergeCell ref="J132:K132"/>
    <mergeCell ref="L132:M132"/>
    <mergeCell ref="N132:O132"/>
    <mergeCell ref="P132:Q132"/>
    <mergeCell ref="R132:S132"/>
    <mergeCell ref="A133:I133"/>
    <mergeCell ref="J133:K133"/>
    <mergeCell ref="L133:M133"/>
    <mergeCell ref="N133:O133"/>
    <mergeCell ref="P133:Q133"/>
    <mergeCell ref="R133:S133"/>
    <mergeCell ref="A134:O134"/>
    <mergeCell ref="P134:Q134"/>
    <mergeCell ref="R134:S134"/>
    <mergeCell ref="A135:I135"/>
    <mergeCell ref="J135:K135"/>
    <mergeCell ref="L135:M135"/>
    <mergeCell ref="N135:O135"/>
    <mergeCell ref="P135:Q135"/>
    <mergeCell ref="R135:S135"/>
    <mergeCell ref="A136:I136"/>
    <mergeCell ref="J136:K136"/>
    <mergeCell ref="L136:M136"/>
    <mergeCell ref="N136:O136"/>
    <mergeCell ref="P136:Q136"/>
    <mergeCell ref="R136:S136"/>
    <mergeCell ref="A137:I137"/>
    <mergeCell ref="J137:K137"/>
    <mergeCell ref="L137:M137"/>
    <mergeCell ref="N137:O137"/>
    <mergeCell ref="P137:Q137"/>
    <mergeCell ref="R137:S137"/>
    <mergeCell ref="A138:I138"/>
    <mergeCell ref="J138:K138"/>
    <mergeCell ref="L138:M138"/>
    <mergeCell ref="N138:O138"/>
    <mergeCell ref="P138:Q138"/>
    <mergeCell ref="R138:S138"/>
    <mergeCell ref="A139:I139"/>
    <mergeCell ref="J139:K139"/>
    <mergeCell ref="L139:M139"/>
    <mergeCell ref="N139:O139"/>
    <mergeCell ref="P139:Q139"/>
    <mergeCell ref="R139:S139"/>
    <mergeCell ref="A140:I140"/>
    <mergeCell ref="J140:K140"/>
    <mergeCell ref="L140:M140"/>
    <mergeCell ref="N140:O140"/>
    <mergeCell ref="P140:Q140"/>
    <mergeCell ref="R140:S140"/>
    <mergeCell ref="A141:I141"/>
    <mergeCell ref="J141:K141"/>
    <mergeCell ref="L141:M141"/>
    <mergeCell ref="N141:O141"/>
    <mergeCell ref="P141:Q141"/>
    <mergeCell ref="R141:S141"/>
    <mergeCell ref="A142:I142"/>
    <mergeCell ref="J142:K142"/>
    <mergeCell ref="L142:M142"/>
    <mergeCell ref="N142:O142"/>
    <mergeCell ref="P142:Q142"/>
    <mergeCell ref="R142:S142"/>
    <mergeCell ref="A143:O143"/>
    <mergeCell ref="P143:Q143"/>
    <mergeCell ref="R143:S143"/>
    <mergeCell ref="A144:I144"/>
    <mergeCell ref="J144:K144"/>
    <mergeCell ref="L144:M144"/>
    <mergeCell ref="N144:O144"/>
    <mergeCell ref="P144:Q144"/>
    <mergeCell ref="R144:S144"/>
    <mergeCell ref="A145:O145"/>
    <mergeCell ref="P145:Q145"/>
    <mergeCell ref="R145:S145"/>
    <mergeCell ref="A147:I147"/>
    <mergeCell ref="J147:K147"/>
    <mergeCell ref="L147:M147"/>
    <mergeCell ref="N147:O147"/>
    <mergeCell ref="P147:Q147"/>
    <mergeCell ref="R147:S147"/>
    <mergeCell ref="I197:K197"/>
    <mergeCell ref="A201:C201"/>
    <mergeCell ref="A202:C202"/>
    <mergeCell ref="A149:I149"/>
    <mergeCell ref="J149:K149"/>
    <mergeCell ref="L149:M149"/>
    <mergeCell ref="A151:O151"/>
    <mergeCell ref="A153:I153"/>
    <mergeCell ref="J153:K153"/>
    <mergeCell ref="N149:O149"/>
    <mergeCell ref="P149:Q149"/>
    <mergeCell ref="R149:S149"/>
    <mergeCell ref="A150:I150"/>
    <mergeCell ref="J150:K150"/>
    <mergeCell ref="L150:M150"/>
    <mergeCell ref="N150:O150"/>
    <mergeCell ref="P150:Q150"/>
    <mergeCell ref="R150:S150"/>
    <mergeCell ref="P151:Q151"/>
    <mergeCell ref="R151:S151"/>
    <mergeCell ref="A152:I152"/>
    <mergeCell ref="J152:K152"/>
    <mergeCell ref="L152:M152"/>
    <mergeCell ref="N152:O152"/>
    <mergeCell ref="P152:Q152"/>
    <mergeCell ref="R152:S152"/>
    <mergeCell ref="L153:M153"/>
    <mergeCell ref="N153:O153"/>
    <mergeCell ref="P153:Q153"/>
    <mergeCell ref="R153:S153"/>
    <mergeCell ref="A154:I154"/>
    <mergeCell ref="J154:K154"/>
    <mergeCell ref="L154:M154"/>
    <mergeCell ref="N154:O154"/>
    <mergeCell ref="P154:Q154"/>
    <mergeCell ref="R154:S154"/>
    <mergeCell ref="A155:I155"/>
    <mergeCell ref="J155:K155"/>
    <mergeCell ref="L155:M155"/>
    <mergeCell ref="N155:O155"/>
    <mergeCell ref="P155:Q155"/>
    <mergeCell ref="R155:S155"/>
    <mergeCell ref="A156:I156"/>
    <mergeCell ref="J156:K156"/>
    <mergeCell ref="L156:M156"/>
    <mergeCell ref="N156:O156"/>
    <mergeCell ref="P156:Q156"/>
    <mergeCell ref="R156:S156"/>
    <mergeCell ref="A157:I157"/>
    <mergeCell ref="J157:K157"/>
    <mergeCell ref="L157:M157"/>
    <mergeCell ref="N157:O157"/>
    <mergeCell ref="P157:Q157"/>
    <mergeCell ref="R157:S157"/>
    <mergeCell ref="A158:I158"/>
    <mergeCell ref="J158:K158"/>
    <mergeCell ref="L158:M158"/>
    <mergeCell ref="N158:O158"/>
    <mergeCell ref="P158:Q158"/>
    <mergeCell ref="R158:S158"/>
    <mergeCell ref="A159:I159"/>
    <mergeCell ref="J159:K159"/>
    <mergeCell ref="L159:M159"/>
    <mergeCell ref="N159:O159"/>
    <mergeCell ref="P159:Q159"/>
    <mergeCell ref="R159:S159"/>
    <mergeCell ref="A160:O160"/>
    <mergeCell ref="P160:Q160"/>
    <mergeCell ref="R160:S160"/>
    <mergeCell ref="A161:I161"/>
    <mergeCell ref="J161:K161"/>
    <mergeCell ref="L161:M161"/>
    <mergeCell ref="N161:O161"/>
    <mergeCell ref="P161:Q161"/>
    <mergeCell ref="R161:S161"/>
    <mergeCell ref="A162:O162"/>
    <mergeCell ref="P162:Q162"/>
    <mergeCell ref="R162:S162"/>
    <mergeCell ref="A164:G164"/>
    <mergeCell ref="A172:C172"/>
    <mergeCell ref="A173:C173"/>
    <mergeCell ref="D173:E173"/>
    <mergeCell ref="F173:G173"/>
    <mergeCell ref="D170:E170"/>
    <mergeCell ref="F170:G170"/>
    <mergeCell ref="A165:C165"/>
    <mergeCell ref="A166:C166"/>
    <mergeCell ref="A167:C167"/>
    <mergeCell ref="A168:C168"/>
    <mergeCell ref="A169:C169"/>
    <mergeCell ref="A170:C170"/>
    <mergeCell ref="A171:C171"/>
  </mergeCells>
  <phoneticPr fontId="21" type="noConversion"/>
  <printOptions horizontalCentered="1"/>
  <pageMargins left="0.39370078740157483" right="0" top="0.78740157480314965" bottom="0.78740157480314965" header="0.31496062992125984" footer="0.31496062992125984"/>
  <pageSetup paperSize="9" scale="56" orientation="portrait" r:id="rId1"/>
  <rowBreaks count="4" manualBreakCount="4">
    <brk id="67" max="18" man="1"/>
    <brk id="127" max="18" man="1"/>
    <brk id="185" max="18" man="1"/>
    <brk id="249" max="18" man="1"/>
  </rowBreaks>
  <colBreaks count="1" manualBreakCount="1">
    <brk id="21" max="69"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00000"/>
  </sheetPr>
  <dimension ref="A1:Z185"/>
  <sheetViews>
    <sheetView topLeftCell="A175" zoomScale="98" zoomScaleSheetLayoutView="98" workbookViewId="0">
      <selection activeCell="B7" sqref="B7:Q7"/>
    </sheetView>
  </sheetViews>
  <sheetFormatPr defaultColWidth="9.109375" defaultRowHeight="13.2"/>
  <cols>
    <col min="1" max="1" width="7" style="16" customWidth="1"/>
    <col min="2" max="2" width="12" style="21" customWidth="1"/>
    <col min="3" max="3" width="6.44140625" style="17" customWidth="1"/>
    <col min="4" max="4" width="10.6640625" style="16" customWidth="1"/>
    <col min="5" max="5" width="5.21875" style="17" customWidth="1"/>
    <col min="6" max="6" width="6.6640625" style="16" customWidth="1"/>
    <col min="7" max="8" width="10.77734375" style="16" customWidth="1"/>
    <col min="9" max="9" width="10.6640625" style="16" customWidth="1"/>
    <col min="10" max="10" width="11.6640625" style="16" customWidth="1"/>
    <col min="11" max="11" width="7.88671875" style="16" customWidth="1"/>
    <col min="12" max="12" width="10.33203125" style="16" customWidth="1"/>
    <col min="13" max="13" width="8.44140625" style="16" customWidth="1"/>
    <col min="14" max="14" width="7.6640625" style="16" customWidth="1"/>
    <col min="15" max="15" width="7.21875" style="16" customWidth="1"/>
    <col min="16" max="16" width="7.6640625" style="22" customWidth="1"/>
    <col min="17" max="17" width="10" style="16" customWidth="1"/>
    <col min="18" max="18" width="5.109375" style="17" customWidth="1"/>
    <col min="19" max="19" width="13.5546875" style="17" customWidth="1"/>
    <col min="20" max="20" width="3.6640625" style="16" customWidth="1"/>
    <col min="21" max="21" width="13.5546875" style="16" customWidth="1"/>
    <col min="22" max="22" width="4.21875" style="16" customWidth="1"/>
    <col min="23" max="23" width="18.33203125" style="16" customWidth="1"/>
    <col min="24" max="24" width="4.6640625" style="17" customWidth="1"/>
    <col min="25" max="25" width="16.21875" style="16" customWidth="1"/>
    <col min="26" max="16384" width="9.109375" style="16"/>
  </cols>
  <sheetData>
    <row r="1" spans="1:26">
      <c r="A1" s="14"/>
      <c r="B1" s="131"/>
      <c r="C1" s="132"/>
      <c r="D1" s="14"/>
      <c r="E1" s="132"/>
      <c r="F1" s="14"/>
      <c r="G1" s="14"/>
      <c r="H1" s="14"/>
      <c r="I1" s="14"/>
      <c r="J1" s="14"/>
      <c r="K1" s="14"/>
      <c r="L1" s="14"/>
      <c r="M1" s="14"/>
      <c r="N1" s="14"/>
      <c r="O1" s="14"/>
      <c r="P1" s="133"/>
      <c r="Q1" s="14"/>
    </row>
    <row r="2" spans="1:26" ht="33" customHeight="1">
      <c r="A2" s="870" t="s">
        <v>134</v>
      </c>
      <c r="B2" s="871"/>
      <c r="C2" s="871"/>
      <c r="D2" s="871"/>
      <c r="E2" s="871"/>
      <c r="F2" s="871"/>
      <c r="G2" s="871"/>
      <c r="H2" s="871"/>
      <c r="I2" s="871"/>
      <c r="J2" s="871"/>
      <c r="K2" s="871"/>
      <c r="L2" s="871"/>
      <c r="M2" s="871"/>
      <c r="N2" s="871"/>
      <c r="O2" s="871"/>
      <c r="P2" s="871"/>
      <c r="Q2" s="871"/>
    </row>
    <row r="3" spans="1:26" ht="17.25" customHeight="1">
      <c r="A3" s="138" t="s">
        <v>135</v>
      </c>
      <c r="B3" s="138"/>
      <c r="C3" s="138"/>
      <c r="D3" s="138"/>
      <c r="E3" s="138"/>
      <c r="F3" s="138"/>
      <c r="G3" s="138"/>
      <c r="H3" s="138"/>
      <c r="I3" s="138"/>
      <c r="J3" s="138"/>
      <c r="K3" s="138"/>
      <c r="L3" s="138"/>
      <c r="M3" s="138"/>
      <c r="N3" s="138"/>
      <c r="O3" s="138"/>
      <c r="P3" s="138"/>
      <c r="Q3" s="138"/>
    </row>
    <row r="4" spans="1:26" ht="16.5" customHeight="1">
      <c r="A4" s="138" t="s">
        <v>136</v>
      </c>
      <c r="B4" s="138"/>
      <c r="C4" s="138"/>
      <c r="D4" s="138"/>
      <c r="E4" s="138"/>
      <c r="F4" s="138"/>
      <c r="G4" s="138"/>
      <c r="H4" s="138"/>
      <c r="I4" s="138"/>
      <c r="J4" s="138"/>
      <c r="K4" s="138"/>
      <c r="L4" s="138"/>
      <c r="M4" s="138"/>
      <c r="N4" s="138"/>
      <c r="O4" s="138"/>
      <c r="P4" s="138"/>
      <c r="Q4" s="138"/>
    </row>
    <row r="5" spans="1:26" ht="15.75" customHeight="1">
      <c r="A5" s="138" t="s">
        <v>137</v>
      </c>
      <c r="B5" s="138"/>
      <c r="C5" s="138"/>
      <c r="D5" s="138"/>
      <c r="E5" s="138"/>
      <c r="F5" s="138"/>
      <c r="G5" s="138"/>
      <c r="H5" s="138"/>
      <c r="I5" s="138"/>
      <c r="J5" s="138"/>
      <c r="K5" s="138"/>
      <c r="L5" s="138"/>
      <c r="M5" s="138"/>
      <c r="N5" s="138"/>
      <c r="O5" s="138"/>
      <c r="P5" s="138"/>
      <c r="Q5" s="138"/>
      <c r="R5" s="16"/>
      <c r="S5" s="16"/>
      <c r="X5" s="16"/>
    </row>
    <row r="6" spans="1:26" ht="15.6">
      <c r="A6" s="138"/>
      <c r="B6" s="138"/>
      <c r="C6" s="138"/>
      <c r="D6" s="138"/>
      <c r="E6" s="138"/>
      <c r="F6" s="138"/>
      <c r="G6" s="138"/>
      <c r="H6" s="138"/>
      <c r="I6" s="138"/>
      <c r="J6" s="138"/>
      <c r="K6" s="138"/>
      <c r="L6" s="138"/>
      <c r="M6" s="138"/>
      <c r="N6" s="138"/>
      <c r="O6" s="138"/>
      <c r="P6" s="138"/>
      <c r="Q6" s="138"/>
      <c r="R6" s="16"/>
      <c r="S6" s="16"/>
      <c r="X6" s="16"/>
    </row>
    <row r="7" spans="1:26" ht="44.25" customHeight="1">
      <c r="A7" s="415" t="s">
        <v>552</v>
      </c>
      <c r="B7" s="804" t="s">
        <v>457</v>
      </c>
      <c r="C7" s="804"/>
      <c r="D7" s="804"/>
      <c r="E7" s="804"/>
      <c r="F7" s="804"/>
      <c r="G7" s="804"/>
      <c r="H7" s="804"/>
      <c r="I7" s="804"/>
      <c r="J7" s="804"/>
      <c r="K7" s="804"/>
      <c r="L7" s="804"/>
      <c r="M7" s="804"/>
      <c r="N7" s="804"/>
      <c r="O7" s="804"/>
      <c r="P7" s="804"/>
      <c r="Q7" s="804"/>
      <c r="R7" s="18"/>
      <c r="S7" s="16"/>
      <c r="T7" s="17"/>
      <c r="U7" s="17"/>
      <c r="X7" s="16"/>
      <c r="Z7" s="17"/>
    </row>
    <row r="8" spans="1:26" s="137" customFormat="1" ht="13.5" customHeight="1">
      <c r="A8" s="135"/>
      <c r="B8" s="136"/>
      <c r="C8" s="136"/>
      <c r="D8" s="136"/>
      <c r="E8" s="136"/>
      <c r="F8" s="136"/>
      <c r="G8" s="14"/>
      <c r="H8" s="14"/>
      <c r="I8" s="14"/>
      <c r="J8" s="14"/>
      <c r="K8" s="14"/>
      <c r="L8" s="136"/>
      <c r="M8" s="136"/>
      <c r="N8" s="136"/>
      <c r="O8" s="136"/>
      <c r="P8" s="136"/>
      <c r="Q8" s="136"/>
    </row>
    <row r="9" spans="1:26" ht="16.5" customHeight="1">
      <c r="A9" s="831" t="s">
        <v>541</v>
      </c>
      <c r="B9" s="831"/>
      <c r="C9" s="831"/>
      <c r="D9" s="831"/>
      <c r="E9" s="831"/>
      <c r="F9" s="831"/>
      <c r="G9" s="831"/>
      <c r="H9" s="831"/>
      <c r="I9" s="831"/>
      <c r="J9" s="831"/>
      <c r="K9" s="831"/>
      <c r="L9" s="831"/>
      <c r="M9" s="831"/>
      <c r="N9" s="831"/>
      <c r="O9" s="831"/>
      <c r="P9" s="831"/>
      <c r="Q9" s="831"/>
      <c r="R9" s="18"/>
      <c r="S9" s="16"/>
      <c r="T9" s="17"/>
      <c r="U9" s="17"/>
      <c r="X9" s="16"/>
      <c r="Z9" s="17"/>
    </row>
    <row r="10" spans="1:26" ht="16.5" customHeight="1">
      <c r="A10" s="376" t="s">
        <v>545</v>
      </c>
      <c r="B10" s="526" t="s">
        <v>544</v>
      </c>
      <c r="C10" s="527"/>
      <c r="D10" s="527"/>
      <c r="E10" s="527"/>
      <c r="F10" s="527"/>
      <c r="G10" s="527"/>
      <c r="H10" s="527"/>
      <c r="I10" s="527"/>
      <c r="J10" s="527"/>
      <c r="K10" s="527"/>
      <c r="L10" s="528"/>
      <c r="M10" s="529" t="s">
        <v>543</v>
      </c>
      <c r="N10" s="530"/>
      <c r="O10" s="531"/>
      <c r="P10" s="532" t="s">
        <v>542</v>
      </c>
      <c r="Q10" s="532"/>
      <c r="R10" s="16"/>
      <c r="S10" s="16"/>
      <c r="X10" s="16"/>
    </row>
    <row r="11" spans="1:26" ht="16.5" customHeight="1">
      <c r="A11" s="378" t="s">
        <v>546</v>
      </c>
      <c r="B11" s="546" t="s">
        <v>547</v>
      </c>
      <c r="C11" s="547"/>
      <c r="D11" s="547"/>
      <c r="E11" s="547"/>
      <c r="F11" s="547"/>
      <c r="G11" s="547"/>
      <c r="H11" s="547"/>
      <c r="I11" s="547"/>
      <c r="J11" s="547"/>
      <c r="K11" s="547"/>
      <c r="L11" s="548"/>
      <c r="M11" s="512">
        <f>SUM(M12:O17)</f>
        <v>242394.55215498133</v>
      </c>
      <c r="N11" s="513"/>
      <c r="O11" s="514"/>
      <c r="P11" s="515">
        <f>M11/$M$23</f>
        <v>0.90039013405289425</v>
      </c>
      <c r="Q11" s="515"/>
      <c r="R11" s="16"/>
      <c r="S11" s="16"/>
      <c r="X11" s="16"/>
    </row>
    <row r="12" spans="1:26" ht="16.5" customHeight="1">
      <c r="A12" s="377" t="s">
        <v>548</v>
      </c>
      <c r="B12" s="516" t="str">
        <f t="shared" ref="B12:B17" si="0">B27</f>
        <v>Gari Varredor (Diurno)</v>
      </c>
      <c r="C12" s="517"/>
      <c r="D12" s="517"/>
      <c r="E12" s="517"/>
      <c r="F12" s="517"/>
      <c r="G12" s="517"/>
      <c r="H12" s="517"/>
      <c r="I12" s="517"/>
      <c r="J12" s="517"/>
      <c r="K12" s="517"/>
      <c r="L12" s="518"/>
      <c r="M12" s="519">
        <f>P58</f>
        <v>148308.23960149335</v>
      </c>
      <c r="N12" s="520"/>
      <c r="O12" s="521"/>
      <c r="P12" s="522"/>
      <c r="Q12" s="522"/>
      <c r="R12" s="16"/>
      <c r="S12" s="16"/>
      <c r="X12" s="16"/>
    </row>
    <row r="13" spans="1:26" ht="16.5" customHeight="1">
      <c r="A13" s="377" t="s">
        <v>549</v>
      </c>
      <c r="B13" s="516" t="str">
        <f t="shared" si="0"/>
        <v>Gari Varredor (Vespertino)</v>
      </c>
      <c r="C13" s="517"/>
      <c r="D13" s="517"/>
      <c r="E13" s="517"/>
      <c r="F13" s="517"/>
      <c r="G13" s="517"/>
      <c r="H13" s="517"/>
      <c r="I13" s="517"/>
      <c r="J13" s="517"/>
      <c r="K13" s="517"/>
      <c r="L13" s="518"/>
      <c r="M13" s="519">
        <f>P75</f>
        <v>74154.119800746674</v>
      </c>
      <c r="N13" s="520"/>
      <c r="O13" s="521"/>
      <c r="P13" s="522"/>
      <c r="Q13" s="522"/>
      <c r="R13" s="16"/>
      <c r="S13" s="16"/>
      <c r="X13" s="16"/>
    </row>
    <row r="14" spans="1:26" ht="16.5" customHeight="1">
      <c r="A14" s="377" t="s">
        <v>550</v>
      </c>
      <c r="B14" s="516" t="str">
        <f t="shared" si="0"/>
        <v>Fiscal de Varrição (Diurno)</v>
      </c>
      <c r="C14" s="517"/>
      <c r="D14" s="517"/>
      <c r="E14" s="517"/>
      <c r="F14" s="517"/>
      <c r="G14" s="517"/>
      <c r="H14" s="517"/>
      <c r="I14" s="517"/>
      <c r="J14" s="517"/>
      <c r="K14" s="517"/>
      <c r="L14" s="518"/>
      <c r="M14" s="519">
        <f>P91/2</f>
        <v>3911.09548</v>
      </c>
      <c r="N14" s="520"/>
      <c r="O14" s="521"/>
      <c r="P14" s="522"/>
      <c r="Q14" s="522"/>
      <c r="R14" s="16"/>
      <c r="S14" s="16"/>
      <c r="X14" s="16"/>
    </row>
    <row r="15" spans="1:26" ht="16.5" customHeight="1">
      <c r="A15" s="377" t="s">
        <v>551</v>
      </c>
      <c r="B15" s="516" t="str">
        <f t="shared" si="0"/>
        <v>Fiscal de Varrição (Vespertino)</v>
      </c>
      <c r="C15" s="517"/>
      <c r="D15" s="517"/>
      <c r="E15" s="517"/>
      <c r="F15" s="517"/>
      <c r="G15" s="517"/>
      <c r="H15" s="517"/>
      <c r="I15" s="517"/>
      <c r="J15" s="517"/>
      <c r="K15" s="517"/>
      <c r="L15" s="518"/>
      <c r="M15" s="519">
        <f>P91/2</f>
        <v>3911.09548</v>
      </c>
      <c r="N15" s="520"/>
      <c r="O15" s="521"/>
      <c r="P15" s="522"/>
      <c r="Q15" s="522"/>
      <c r="R15" s="16"/>
      <c r="S15" s="16"/>
      <c r="X15" s="16"/>
    </row>
    <row r="16" spans="1:26" ht="13.8">
      <c r="A16" s="377" t="s">
        <v>557</v>
      </c>
      <c r="B16" s="516" t="str">
        <f t="shared" si="0"/>
        <v>Motorista Van</v>
      </c>
      <c r="C16" s="517"/>
      <c r="D16" s="517"/>
      <c r="E16" s="517"/>
      <c r="F16" s="517"/>
      <c r="G16" s="517"/>
      <c r="H16" s="517"/>
      <c r="I16" s="517"/>
      <c r="J16" s="517"/>
      <c r="K16" s="517"/>
      <c r="L16" s="518"/>
      <c r="M16" s="519">
        <f>P107</f>
        <v>7660.8399927413338</v>
      </c>
      <c r="N16" s="520"/>
      <c r="O16" s="521"/>
      <c r="P16" s="522"/>
      <c r="Q16" s="522"/>
      <c r="R16" s="16"/>
      <c r="S16" s="16"/>
      <c r="X16" s="16"/>
    </row>
    <row r="17" spans="1:26" ht="13.8">
      <c r="A17" s="377" t="s">
        <v>563</v>
      </c>
      <c r="B17" s="516" t="str">
        <f t="shared" si="0"/>
        <v>Chefe de Turma</v>
      </c>
      <c r="C17" s="517"/>
      <c r="D17" s="517"/>
      <c r="E17" s="517"/>
      <c r="F17" s="517"/>
      <c r="G17" s="517"/>
      <c r="H17" s="517"/>
      <c r="I17" s="517"/>
      <c r="J17" s="517"/>
      <c r="K17" s="517"/>
      <c r="L17" s="518"/>
      <c r="M17" s="519">
        <f>P123</f>
        <v>4449.1617999999999</v>
      </c>
      <c r="N17" s="520"/>
      <c r="O17" s="521"/>
      <c r="P17" s="522"/>
      <c r="Q17" s="522"/>
      <c r="R17" s="16"/>
      <c r="S17" s="16"/>
      <c r="X17" s="16"/>
    </row>
    <row r="18" spans="1:26" ht="16.5" customHeight="1">
      <c r="A18" s="378" t="s">
        <v>552</v>
      </c>
      <c r="B18" s="546" t="s">
        <v>633</v>
      </c>
      <c r="C18" s="547"/>
      <c r="D18" s="547"/>
      <c r="E18" s="547"/>
      <c r="F18" s="547"/>
      <c r="G18" s="547"/>
      <c r="H18" s="547"/>
      <c r="I18" s="547"/>
      <c r="J18" s="547"/>
      <c r="K18" s="547"/>
      <c r="L18" s="548"/>
      <c r="M18" s="512">
        <f>SUM(M19:O22)</f>
        <v>26816.03</v>
      </c>
      <c r="N18" s="513"/>
      <c r="O18" s="514"/>
      <c r="P18" s="515">
        <f>M18/$M$23</f>
        <v>9.9609865947105788E-2</v>
      </c>
      <c r="Q18" s="515"/>
      <c r="R18" s="16"/>
      <c r="S18" s="16"/>
      <c r="X18" s="16"/>
    </row>
    <row r="19" spans="1:26" ht="16.5" customHeight="1">
      <c r="A19" s="377" t="s">
        <v>616</v>
      </c>
      <c r="B19" s="516" t="str">
        <f>A157</f>
        <v>Locação de van  16 lugares - Incluindo Manutenção e combustivel</v>
      </c>
      <c r="C19" s="517"/>
      <c r="D19" s="517"/>
      <c r="E19" s="517"/>
      <c r="F19" s="517"/>
      <c r="G19" s="517"/>
      <c r="H19" s="517"/>
      <c r="I19" s="517"/>
      <c r="J19" s="517"/>
      <c r="K19" s="517"/>
      <c r="L19" s="518"/>
      <c r="M19" s="519">
        <f>I160</f>
        <v>15000</v>
      </c>
      <c r="N19" s="520"/>
      <c r="O19" s="521"/>
      <c r="P19" s="522">
        <f>M19/$M$23</f>
        <v>5.5718463516284358E-2</v>
      </c>
      <c r="Q19" s="522"/>
      <c r="R19" s="16"/>
      <c r="S19" s="16"/>
      <c r="X19" s="16"/>
    </row>
    <row r="20" spans="1:26" ht="16.5" customHeight="1">
      <c r="A20" s="377" t="s">
        <v>620</v>
      </c>
      <c r="B20" s="516" t="str">
        <f>A162</f>
        <v>Locação de Motocicleta  para fiscalização dos Serviços - Incluindo Manutenção e combustivel</v>
      </c>
      <c r="C20" s="517"/>
      <c r="D20" s="517"/>
      <c r="E20" s="517"/>
      <c r="F20" s="517"/>
      <c r="G20" s="517"/>
      <c r="H20" s="517"/>
      <c r="I20" s="517"/>
      <c r="J20" s="517"/>
      <c r="K20" s="517"/>
      <c r="L20" s="518"/>
      <c r="M20" s="519">
        <f>I165</f>
        <v>900</v>
      </c>
      <c r="N20" s="520"/>
      <c r="O20" s="521"/>
      <c r="P20" s="522"/>
      <c r="Q20" s="522"/>
      <c r="R20" s="16"/>
      <c r="S20" s="16"/>
      <c r="X20" s="16"/>
    </row>
    <row r="21" spans="1:26" ht="16.5" customHeight="1">
      <c r="A21" s="377" t="s">
        <v>622</v>
      </c>
      <c r="B21" s="516" t="str">
        <f>A167</f>
        <v>Custo com Ferramentas</v>
      </c>
      <c r="C21" s="517"/>
      <c r="D21" s="517"/>
      <c r="E21" s="517"/>
      <c r="F21" s="517"/>
      <c r="G21" s="517"/>
      <c r="H21" s="517"/>
      <c r="I21" s="517"/>
      <c r="J21" s="517"/>
      <c r="K21" s="517"/>
      <c r="L21" s="518"/>
      <c r="M21" s="519">
        <f>I174</f>
        <v>9831.02</v>
      </c>
      <c r="N21" s="520"/>
      <c r="O21" s="521"/>
      <c r="P21" s="522"/>
      <c r="Q21" s="522"/>
      <c r="R21" s="16"/>
      <c r="S21" s="16"/>
      <c r="X21" s="16"/>
    </row>
    <row r="22" spans="1:26" ht="16.5" customHeight="1">
      <c r="A22" s="377" t="s">
        <v>621</v>
      </c>
      <c r="B22" s="516" t="str">
        <f>A176</f>
        <v xml:space="preserve">Custo com Lutocar </v>
      </c>
      <c r="C22" s="517"/>
      <c r="D22" s="517"/>
      <c r="E22" s="517"/>
      <c r="F22" s="517"/>
      <c r="G22" s="517"/>
      <c r="H22" s="517"/>
      <c r="I22" s="517"/>
      <c r="J22" s="517"/>
      <c r="K22" s="517"/>
      <c r="L22" s="518"/>
      <c r="M22" s="519">
        <f>I179</f>
        <v>1085.01</v>
      </c>
      <c r="N22" s="520"/>
      <c r="O22" s="521"/>
      <c r="P22" s="522"/>
      <c r="Q22" s="522"/>
      <c r="R22" s="16"/>
      <c r="S22" s="16"/>
      <c r="X22" s="16"/>
    </row>
    <row r="23" spans="1:26" ht="18">
      <c r="A23" s="414" t="s">
        <v>626</v>
      </c>
      <c r="B23" s="414"/>
      <c r="C23" s="414"/>
      <c r="D23" s="414"/>
      <c r="E23" s="414"/>
      <c r="F23" s="414"/>
      <c r="G23" s="414"/>
      <c r="H23" s="414"/>
      <c r="I23" s="414"/>
      <c r="J23" s="414"/>
      <c r="K23" s="414"/>
      <c r="L23" s="416"/>
      <c r="M23" s="535">
        <f>M11+M18</f>
        <v>269210.58215498133</v>
      </c>
      <c r="N23" s="536"/>
      <c r="O23" s="537"/>
      <c r="P23" s="538">
        <v>1</v>
      </c>
      <c r="Q23" s="538"/>
      <c r="R23" s="16"/>
      <c r="S23" s="16"/>
      <c r="X23" s="16"/>
    </row>
    <row r="24" spans="1:26" ht="10.5" customHeight="1">
      <c r="A24" s="383"/>
      <c r="B24" s="386"/>
      <c r="C24" s="386"/>
      <c r="D24" s="386"/>
      <c r="E24" s="386"/>
      <c r="F24" s="386"/>
      <c r="G24" s="386"/>
      <c r="H24" s="386"/>
      <c r="I24" s="386"/>
      <c r="J24" s="386"/>
      <c r="K24" s="386"/>
      <c r="L24" s="386"/>
      <c r="M24" s="386"/>
      <c r="N24" s="333"/>
      <c r="O24" s="333"/>
      <c r="P24" s="385"/>
      <c r="Q24" s="385"/>
      <c r="R24" s="16"/>
      <c r="S24" s="16"/>
      <c r="X24" s="16"/>
    </row>
    <row r="25" spans="1:26" ht="16.5" customHeight="1">
      <c r="A25" s="832" t="s">
        <v>556</v>
      </c>
      <c r="B25" s="832"/>
      <c r="C25" s="832"/>
      <c r="D25" s="832"/>
      <c r="E25" s="832"/>
      <c r="F25" s="832"/>
      <c r="G25" s="832"/>
      <c r="H25" s="832"/>
      <c r="I25" s="832"/>
      <c r="J25" s="832"/>
      <c r="K25" s="832"/>
      <c r="L25" s="832"/>
      <c r="M25" s="832"/>
      <c r="N25" s="832"/>
      <c r="O25" s="832"/>
      <c r="P25" s="832"/>
      <c r="Q25" s="832"/>
      <c r="R25" s="18"/>
      <c r="S25" s="16"/>
      <c r="T25" s="17"/>
      <c r="U25" s="17"/>
      <c r="X25" s="16"/>
      <c r="Z25" s="17"/>
    </row>
    <row r="26" spans="1:26" ht="13.8">
      <c r="A26" s="539" t="s">
        <v>547</v>
      </c>
      <c r="B26" s="540"/>
      <c r="C26" s="540"/>
      <c r="D26" s="540"/>
      <c r="E26" s="540"/>
      <c r="F26" s="540"/>
      <c r="G26" s="540"/>
      <c r="H26" s="540"/>
      <c r="I26" s="540"/>
      <c r="J26" s="540"/>
      <c r="K26" s="540"/>
      <c r="L26" s="540"/>
      <c r="M26" s="540"/>
      <c r="N26" s="540"/>
      <c r="O26" s="541"/>
      <c r="P26" s="542" t="s">
        <v>36</v>
      </c>
      <c r="Q26" s="543"/>
      <c r="R26" s="16"/>
      <c r="S26" s="16"/>
      <c r="X26" s="16"/>
    </row>
    <row r="27" spans="1:26" ht="16.5" customHeight="1">
      <c r="A27" s="377" t="s">
        <v>548</v>
      </c>
      <c r="B27" s="516" t="str">
        <f>'MÃO DE OBRA'!B14</f>
        <v>Gari Varredor (Diurno)</v>
      </c>
      <c r="C27" s="517"/>
      <c r="D27" s="517"/>
      <c r="E27" s="517"/>
      <c r="F27" s="517"/>
      <c r="G27" s="517"/>
      <c r="H27" s="517"/>
      <c r="I27" s="517"/>
      <c r="J27" s="517"/>
      <c r="K27" s="517"/>
      <c r="L27" s="517"/>
      <c r="M27" s="517"/>
      <c r="N27" s="517"/>
      <c r="O27" s="518"/>
      <c r="P27" s="736">
        <f>'MÃO DE OBRA'!C14</f>
        <v>40</v>
      </c>
      <c r="Q27" s="737"/>
      <c r="R27" s="16"/>
      <c r="S27" s="16"/>
      <c r="X27" s="16"/>
    </row>
    <row r="28" spans="1:26" ht="16.5" customHeight="1">
      <c r="A28" s="377" t="s">
        <v>549</v>
      </c>
      <c r="B28" s="516" t="str">
        <f>'MÃO DE OBRA'!B15</f>
        <v>Gari Varredor (Vespertino)</v>
      </c>
      <c r="C28" s="517"/>
      <c r="D28" s="517"/>
      <c r="E28" s="517"/>
      <c r="F28" s="517"/>
      <c r="G28" s="517"/>
      <c r="H28" s="517"/>
      <c r="I28" s="517"/>
      <c r="J28" s="517"/>
      <c r="K28" s="517"/>
      <c r="L28" s="517"/>
      <c r="M28" s="517"/>
      <c r="N28" s="517"/>
      <c r="O28" s="518"/>
      <c r="P28" s="736">
        <f>'MÃO DE OBRA'!C15</f>
        <v>20</v>
      </c>
      <c r="Q28" s="737"/>
      <c r="R28" s="16"/>
      <c r="S28" s="16"/>
      <c r="X28" s="16"/>
    </row>
    <row r="29" spans="1:26" ht="16.5" customHeight="1">
      <c r="A29" s="377" t="s">
        <v>550</v>
      </c>
      <c r="B29" s="516" t="str">
        <f>'MÃO DE OBRA'!B16</f>
        <v>Fiscal de Varrição (Diurno)</v>
      </c>
      <c r="C29" s="517"/>
      <c r="D29" s="517"/>
      <c r="E29" s="517"/>
      <c r="F29" s="517"/>
      <c r="G29" s="517"/>
      <c r="H29" s="517"/>
      <c r="I29" s="517"/>
      <c r="J29" s="517"/>
      <c r="K29" s="517"/>
      <c r="L29" s="517"/>
      <c r="M29" s="517"/>
      <c r="N29" s="517"/>
      <c r="O29" s="518"/>
      <c r="P29" s="736">
        <f>'MÃO DE OBRA'!C16</f>
        <v>1</v>
      </c>
      <c r="Q29" s="737"/>
      <c r="R29" s="16"/>
      <c r="S29" s="16"/>
      <c r="X29" s="16"/>
    </row>
    <row r="30" spans="1:26" ht="16.5" customHeight="1">
      <c r="A30" s="377" t="s">
        <v>551</v>
      </c>
      <c r="B30" s="516" t="str">
        <f>'MÃO DE OBRA'!B17</f>
        <v>Fiscal de Varrição (Vespertino)</v>
      </c>
      <c r="C30" s="517"/>
      <c r="D30" s="517"/>
      <c r="E30" s="517"/>
      <c r="F30" s="517"/>
      <c r="G30" s="517"/>
      <c r="H30" s="517"/>
      <c r="I30" s="517"/>
      <c r="J30" s="517"/>
      <c r="K30" s="517"/>
      <c r="L30" s="517"/>
      <c r="M30" s="517"/>
      <c r="N30" s="517"/>
      <c r="O30" s="518"/>
      <c r="P30" s="736">
        <f>'MÃO DE OBRA'!C17</f>
        <v>1</v>
      </c>
      <c r="Q30" s="737"/>
      <c r="R30" s="16"/>
      <c r="S30" s="16"/>
      <c r="X30" s="16"/>
    </row>
    <row r="31" spans="1:26" ht="16.5" customHeight="1">
      <c r="A31" s="377" t="s">
        <v>557</v>
      </c>
      <c r="B31" s="516" t="str">
        <f>'MÃO DE OBRA'!B18</f>
        <v>Motorista Van</v>
      </c>
      <c r="C31" s="517"/>
      <c r="D31" s="517"/>
      <c r="E31" s="517"/>
      <c r="F31" s="517"/>
      <c r="G31" s="517"/>
      <c r="H31" s="517"/>
      <c r="I31" s="517"/>
      <c r="J31" s="517"/>
      <c r="K31" s="517"/>
      <c r="L31" s="517"/>
      <c r="M31" s="517"/>
      <c r="N31" s="517"/>
      <c r="O31" s="518"/>
      <c r="P31" s="736">
        <f>'MÃO DE OBRA'!C18</f>
        <v>2</v>
      </c>
      <c r="Q31" s="737"/>
      <c r="R31" s="16"/>
      <c r="S31" s="16"/>
      <c r="X31" s="16"/>
    </row>
    <row r="32" spans="1:26" ht="13.8">
      <c r="A32" s="377" t="s">
        <v>563</v>
      </c>
      <c r="B32" s="516" t="str">
        <f>'MÃO DE OBRA'!B19</f>
        <v>Chefe de Turma</v>
      </c>
      <c r="C32" s="517"/>
      <c r="D32" s="517"/>
      <c r="E32" s="517"/>
      <c r="F32" s="517"/>
      <c r="G32" s="517"/>
      <c r="H32" s="517"/>
      <c r="I32" s="517"/>
      <c r="J32" s="517"/>
      <c r="K32" s="517"/>
      <c r="L32" s="517"/>
      <c r="M32" s="517"/>
      <c r="N32" s="517"/>
      <c r="O32" s="518"/>
      <c r="P32" s="736">
        <f>'MÃO DE OBRA'!C19</f>
        <v>1</v>
      </c>
      <c r="Q32" s="737"/>
      <c r="R32" s="16"/>
      <c r="S32" s="16"/>
      <c r="X32" s="16"/>
    </row>
    <row r="33" spans="1:26" ht="13.8">
      <c r="A33" s="539" t="s">
        <v>558</v>
      </c>
      <c r="B33" s="540"/>
      <c r="C33" s="540"/>
      <c r="D33" s="540"/>
      <c r="E33" s="540"/>
      <c r="F33" s="540"/>
      <c r="G33" s="540"/>
      <c r="H33" s="540"/>
      <c r="I33" s="540"/>
      <c r="J33" s="540"/>
      <c r="K33" s="540"/>
      <c r="L33" s="540"/>
      <c r="M33" s="540"/>
      <c r="N33" s="540"/>
      <c r="O33" s="541"/>
      <c r="P33" s="542">
        <f>SUM(P27:Q32)</f>
        <v>65</v>
      </c>
      <c r="Q33" s="543"/>
      <c r="R33" s="16"/>
      <c r="S33" s="16"/>
      <c r="X33" s="16"/>
    </row>
    <row r="34" spans="1:26" ht="11.25" customHeight="1">
      <c r="A34" s="387"/>
      <c r="B34" s="387"/>
      <c r="C34" s="387"/>
      <c r="D34" s="387"/>
      <c r="E34" s="387"/>
      <c r="F34" s="387"/>
      <c r="G34" s="387"/>
      <c r="H34" s="387"/>
      <c r="I34" s="387"/>
      <c r="J34" s="387"/>
      <c r="K34" s="387"/>
      <c r="L34" s="387"/>
      <c r="M34" s="387"/>
      <c r="N34" s="387"/>
      <c r="O34" s="387"/>
      <c r="P34" s="388"/>
      <c r="Q34" s="388"/>
      <c r="R34" s="16"/>
      <c r="S34" s="16"/>
      <c r="X34" s="16"/>
    </row>
    <row r="35" spans="1:26" ht="13.8">
      <c r="A35" s="539" t="s">
        <v>564</v>
      </c>
      <c r="B35" s="540"/>
      <c r="C35" s="540"/>
      <c r="D35" s="540"/>
      <c r="E35" s="540"/>
      <c r="F35" s="540"/>
      <c r="G35" s="540"/>
      <c r="H35" s="540"/>
      <c r="I35" s="540"/>
      <c r="J35" s="540"/>
      <c r="K35" s="540"/>
      <c r="L35" s="540"/>
      <c r="M35" s="540"/>
      <c r="N35" s="540"/>
      <c r="O35" s="541"/>
      <c r="P35" s="542" t="s">
        <v>36</v>
      </c>
      <c r="Q35" s="543"/>
      <c r="R35" s="16"/>
      <c r="S35" s="16"/>
      <c r="X35" s="16"/>
    </row>
    <row r="36" spans="1:26" ht="16.5" customHeight="1">
      <c r="A36" s="377" t="s">
        <v>555</v>
      </c>
      <c r="B36" s="516" t="str">
        <f>B19</f>
        <v>Locação de van  16 lugares - Incluindo Manutenção e combustivel</v>
      </c>
      <c r="C36" s="517"/>
      <c r="D36" s="517"/>
      <c r="E36" s="517"/>
      <c r="F36" s="517"/>
      <c r="G36" s="517"/>
      <c r="H36" s="517"/>
      <c r="I36" s="517"/>
      <c r="J36" s="517"/>
      <c r="K36" s="517"/>
      <c r="L36" s="517"/>
      <c r="M36" s="517"/>
      <c r="N36" s="517"/>
      <c r="O36" s="518"/>
      <c r="P36" s="736">
        <v>5</v>
      </c>
      <c r="Q36" s="737"/>
      <c r="R36" s="16"/>
      <c r="S36" s="16"/>
      <c r="X36" s="16"/>
    </row>
    <row r="37" spans="1:26" ht="16.5" customHeight="1">
      <c r="A37" s="377" t="s">
        <v>565</v>
      </c>
      <c r="B37" s="516" t="s">
        <v>566</v>
      </c>
      <c r="C37" s="517"/>
      <c r="D37" s="517"/>
      <c r="E37" s="517"/>
      <c r="F37" s="517"/>
      <c r="G37" s="517"/>
      <c r="H37" s="517"/>
      <c r="I37" s="517"/>
      <c r="J37" s="517"/>
      <c r="K37" s="517"/>
      <c r="L37" s="517"/>
      <c r="M37" s="517"/>
      <c r="N37" s="517"/>
      <c r="O37" s="518"/>
      <c r="P37" s="736">
        <v>1</v>
      </c>
      <c r="Q37" s="737"/>
      <c r="R37" s="16"/>
      <c r="S37" s="16"/>
      <c r="X37" s="16"/>
    </row>
    <row r="38" spans="1:26" ht="13.8">
      <c r="A38" s="539" t="s">
        <v>567</v>
      </c>
      <c r="B38" s="540"/>
      <c r="C38" s="540"/>
      <c r="D38" s="540"/>
      <c r="E38" s="540"/>
      <c r="F38" s="540"/>
      <c r="G38" s="540"/>
      <c r="H38" s="540"/>
      <c r="I38" s="540"/>
      <c r="J38" s="540"/>
      <c r="K38" s="540"/>
      <c r="L38" s="540"/>
      <c r="M38" s="540"/>
      <c r="N38" s="540"/>
      <c r="O38" s="541"/>
      <c r="P38" s="542">
        <f>SUM(P36:Q37)</f>
        <v>6</v>
      </c>
      <c r="Q38" s="543"/>
      <c r="R38" s="16"/>
      <c r="S38" s="16"/>
      <c r="X38" s="16"/>
    </row>
    <row r="39" spans="1:26" ht="10.5" customHeight="1">
      <c r="A39" s="39"/>
      <c r="B39" s="42"/>
      <c r="C39" s="31"/>
      <c r="D39" s="31"/>
      <c r="E39" s="31"/>
      <c r="F39" s="31"/>
      <c r="G39" s="39"/>
      <c r="H39" s="19"/>
      <c r="I39" s="42"/>
      <c r="J39" s="19"/>
      <c r="K39" s="19"/>
      <c r="L39" s="19"/>
      <c r="M39" s="19"/>
      <c r="N39" s="19"/>
      <c r="O39" s="19"/>
      <c r="P39" s="20"/>
      <c r="Q39" s="19"/>
      <c r="R39" s="16"/>
      <c r="S39" s="16"/>
      <c r="X39" s="16"/>
    </row>
    <row r="40" spans="1:26" ht="16.5" customHeight="1">
      <c r="A40" s="833" t="s">
        <v>589</v>
      </c>
      <c r="B40" s="832"/>
      <c r="C40" s="832"/>
      <c r="D40" s="832"/>
      <c r="E40" s="832"/>
      <c r="F40" s="832"/>
      <c r="G40" s="832"/>
      <c r="H40" s="832"/>
      <c r="I40" s="832"/>
      <c r="J40" s="832"/>
      <c r="K40" s="832"/>
      <c r="L40" s="832"/>
      <c r="M40" s="832"/>
      <c r="N40" s="832"/>
      <c r="O40" s="832"/>
      <c r="P40" s="832"/>
      <c r="Q40" s="834"/>
      <c r="R40" s="18"/>
      <c r="S40" s="16"/>
      <c r="T40" s="17"/>
      <c r="U40" s="17"/>
      <c r="X40" s="16"/>
      <c r="Z40" s="17"/>
    </row>
    <row r="41" spans="1:26" ht="15.6">
      <c r="A41" s="389" t="s">
        <v>546</v>
      </c>
      <c r="B41" s="390" t="s">
        <v>547</v>
      </c>
      <c r="C41" s="31"/>
      <c r="D41" s="31"/>
      <c r="E41" s="31"/>
      <c r="F41" s="31"/>
      <c r="G41" s="39"/>
      <c r="H41" s="19"/>
      <c r="I41" s="42"/>
      <c r="J41" s="19"/>
      <c r="K41" s="19"/>
      <c r="L41" s="19"/>
      <c r="M41" s="19"/>
      <c r="N41" s="19"/>
      <c r="O41" s="19"/>
      <c r="P41" s="19"/>
      <c r="Q41" s="19"/>
      <c r="R41" s="18"/>
      <c r="S41" s="16"/>
      <c r="X41" s="16"/>
    </row>
    <row r="42" spans="1:26" ht="15.6">
      <c r="A42" s="400" t="str">
        <f>A27</f>
        <v>1.1</v>
      </c>
      <c r="B42" s="390" t="str">
        <f>B27</f>
        <v>Gari Varredor (Diurno)</v>
      </c>
      <c r="C42" s="31"/>
      <c r="D42" s="31"/>
      <c r="E42" s="31"/>
      <c r="F42" s="31"/>
      <c r="G42" s="39"/>
      <c r="H42" s="19"/>
      <c r="I42" s="42"/>
      <c r="J42" s="19"/>
      <c r="K42" s="19"/>
      <c r="L42" s="19"/>
      <c r="M42" s="19"/>
      <c r="N42" s="19"/>
      <c r="O42" s="19"/>
      <c r="P42" s="19"/>
      <c r="Q42" s="19"/>
      <c r="R42" s="18"/>
      <c r="S42" s="16"/>
      <c r="X42" s="16"/>
    </row>
    <row r="43" spans="1:26" ht="15.75" customHeight="1">
      <c r="A43" s="561" t="s">
        <v>569</v>
      </c>
      <c r="B43" s="562"/>
      <c r="C43" s="562"/>
      <c r="D43" s="562"/>
      <c r="E43" s="562"/>
      <c r="F43" s="562"/>
      <c r="G43" s="563"/>
      <c r="H43" s="555" t="s">
        <v>24</v>
      </c>
      <c r="I43" s="555"/>
      <c r="J43" s="555" t="s">
        <v>36</v>
      </c>
      <c r="K43" s="555"/>
      <c r="L43" s="555" t="s">
        <v>570</v>
      </c>
      <c r="M43" s="555"/>
      <c r="N43" s="555" t="s">
        <v>571</v>
      </c>
      <c r="O43" s="555"/>
      <c r="P43" s="555" t="s">
        <v>572</v>
      </c>
      <c r="Q43" s="555"/>
      <c r="R43" s="16"/>
      <c r="S43" s="16"/>
      <c r="X43" s="16"/>
    </row>
    <row r="44" spans="1:26" ht="15.75" customHeight="1">
      <c r="A44" s="751" t="s">
        <v>568</v>
      </c>
      <c r="B44" s="752"/>
      <c r="C44" s="752"/>
      <c r="D44" s="752"/>
      <c r="E44" s="752"/>
      <c r="F44" s="752"/>
      <c r="G44" s="753"/>
      <c r="H44" s="550" t="s">
        <v>573</v>
      </c>
      <c r="I44" s="550"/>
      <c r="J44" s="550">
        <v>1</v>
      </c>
      <c r="K44" s="550"/>
      <c r="L44" s="551">
        <v>1102.1600000000001</v>
      </c>
      <c r="M44" s="550"/>
      <c r="N44" s="551">
        <f>L44*J44</f>
        <v>1102.1600000000001</v>
      </c>
      <c r="O44" s="550"/>
      <c r="P44" s="552"/>
      <c r="Q44" s="552"/>
      <c r="R44" s="16"/>
      <c r="S44" s="16"/>
      <c r="X44" s="16"/>
    </row>
    <row r="45" spans="1:26" ht="15.75" customHeight="1">
      <c r="A45" s="751" t="s">
        <v>68</v>
      </c>
      <c r="B45" s="752"/>
      <c r="C45" s="752"/>
      <c r="D45" s="752"/>
      <c r="E45" s="752"/>
      <c r="F45" s="752"/>
      <c r="G45" s="753"/>
      <c r="H45" s="550" t="s">
        <v>542</v>
      </c>
      <c r="I45" s="550"/>
      <c r="J45" s="576">
        <v>0.4</v>
      </c>
      <c r="K45" s="577"/>
      <c r="L45" s="551">
        <f>'BANCO DE DADOS'!$E$4</f>
        <v>1045</v>
      </c>
      <c r="M45" s="550"/>
      <c r="N45" s="551">
        <f>L45*J45</f>
        <v>418</v>
      </c>
      <c r="O45" s="550"/>
      <c r="P45" s="552"/>
      <c r="Q45" s="552"/>
      <c r="R45" s="16"/>
      <c r="S45" s="16"/>
      <c r="X45" s="16"/>
    </row>
    <row r="46" spans="1:26" ht="15.75" customHeight="1">
      <c r="A46" s="561" t="s">
        <v>571</v>
      </c>
      <c r="B46" s="562"/>
      <c r="C46" s="562"/>
      <c r="D46" s="562"/>
      <c r="E46" s="562"/>
      <c r="F46" s="562"/>
      <c r="G46" s="562"/>
      <c r="H46" s="562"/>
      <c r="I46" s="562"/>
      <c r="J46" s="562"/>
      <c r="K46" s="562"/>
      <c r="L46" s="562"/>
      <c r="M46" s="563"/>
      <c r="N46" s="560">
        <f>SUM(N44:O45)</f>
        <v>1520.16</v>
      </c>
      <c r="O46" s="555"/>
      <c r="P46" s="552"/>
      <c r="Q46" s="552"/>
      <c r="R46" s="16"/>
      <c r="S46" s="16"/>
      <c r="X46" s="16"/>
    </row>
    <row r="47" spans="1:26" ht="15.75" customHeight="1">
      <c r="A47" s="751" t="s">
        <v>1</v>
      </c>
      <c r="B47" s="752"/>
      <c r="C47" s="752"/>
      <c r="D47" s="752"/>
      <c r="E47" s="752"/>
      <c r="F47" s="752"/>
      <c r="G47" s="753"/>
      <c r="H47" s="751" t="s">
        <v>542</v>
      </c>
      <c r="I47" s="752"/>
      <c r="J47" s="564">
        <f>$G$137</f>
        <v>0.85355440000000016</v>
      </c>
      <c r="K47" s="564"/>
      <c r="L47" s="551">
        <f>N46</f>
        <v>1520.16</v>
      </c>
      <c r="M47" s="550"/>
      <c r="N47" s="551">
        <f>J47*L47</f>
        <v>1297.5392567040003</v>
      </c>
      <c r="O47" s="550"/>
      <c r="P47" s="552"/>
      <c r="Q47" s="552"/>
      <c r="R47" s="16"/>
      <c r="S47" s="16"/>
      <c r="X47" s="16"/>
    </row>
    <row r="48" spans="1:26" ht="15.75" customHeight="1">
      <c r="A48" s="751" t="s">
        <v>586</v>
      </c>
      <c r="B48" s="752"/>
      <c r="C48" s="752"/>
      <c r="D48" s="752"/>
      <c r="E48" s="752"/>
      <c r="F48" s="752"/>
      <c r="G48" s="753"/>
      <c r="H48" s="835" t="s">
        <v>577</v>
      </c>
      <c r="I48" s="836"/>
      <c r="J48" s="837">
        <v>0.06</v>
      </c>
      <c r="K48" s="630"/>
      <c r="L48" s="838">
        <f>$I$138</f>
        <v>166.4</v>
      </c>
      <c r="M48" s="839"/>
      <c r="N48" s="838">
        <f>L48-L44*J48</f>
        <v>100.27040000000001</v>
      </c>
      <c r="O48" s="839"/>
      <c r="P48" s="840"/>
      <c r="Q48" s="841"/>
      <c r="R48" s="16"/>
      <c r="S48" s="16"/>
      <c r="X48" s="16"/>
    </row>
    <row r="49" spans="1:24" ht="15.75" customHeight="1">
      <c r="A49" s="751" t="s">
        <v>588</v>
      </c>
      <c r="B49" s="752"/>
      <c r="C49" s="752"/>
      <c r="D49" s="752"/>
      <c r="E49" s="752"/>
      <c r="F49" s="752"/>
      <c r="G49" s="753"/>
      <c r="H49" s="550" t="s">
        <v>578</v>
      </c>
      <c r="I49" s="550"/>
      <c r="J49" s="550">
        <v>26</v>
      </c>
      <c r="K49" s="550"/>
      <c r="L49" s="551">
        <f>$G$142*0.9</f>
        <v>13.833</v>
      </c>
      <c r="M49" s="550"/>
      <c r="N49" s="551">
        <f t="shared" ref="N49:N55" si="1">L49*J49</f>
        <v>359.65800000000002</v>
      </c>
      <c r="O49" s="550"/>
      <c r="P49" s="552"/>
      <c r="Q49" s="552"/>
      <c r="R49" s="16"/>
      <c r="S49" s="16"/>
      <c r="X49" s="16"/>
    </row>
    <row r="50" spans="1:24" ht="15.75" customHeight="1">
      <c r="A50" s="751" t="s">
        <v>4</v>
      </c>
      <c r="B50" s="752"/>
      <c r="C50" s="752"/>
      <c r="D50" s="752"/>
      <c r="E50" s="752"/>
      <c r="F50" s="752"/>
      <c r="G50" s="753"/>
      <c r="H50" s="550" t="s">
        <v>577</v>
      </c>
      <c r="I50" s="550"/>
      <c r="J50" s="550">
        <v>1</v>
      </c>
      <c r="K50" s="550"/>
      <c r="L50" s="551">
        <f>$G$140</f>
        <v>180.15</v>
      </c>
      <c r="M50" s="550"/>
      <c r="N50" s="551">
        <f t="shared" si="1"/>
        <v>180.15</v>
      </c>
      <c r="O50" s="550"/>
      <c r="P50" s="552"/>
      <c r="Q50" s="552"/>
      <c r="R50" s="16"/>
      <c r="S50" s="16"/>
      <c r="X50" s="16"/>
    </row>
    <row r="51" spans="1:24" ht="15.75" customHeight="1">
      <c r="A51" s="751" t="s">
        <v>579</v>
      </c>
      <c r="B51" s="752"/>
      <c r="C51" s="752"/>
      <c r="D51" s="752"/>
      <c r="E51" s="752"/>
      <c r="F51" s="752"/>
      <c r="G51" s="753"/>
      <c r="H51" s="550" t="s">
        <v>577</v>
      </c>
      <c r="I51" s="550"/>
      <c r="J51" s="550">
        <v>1</v>
      </c>
      <c r="K51" s="550"/>
      <c r="L51" s="551">
        <f>(L50/12)*2</f>
        <v>30.025000000000002</v>
      </c>
      <c r="M51" s="550"/>
      <c r="N51" s="551">
        <f t="shared" si="1"/>
        <v>30.025000000000002</v>
      </c>
      <c r="O51" s="550"/>
      <c r="P51" s="552"/>
      <c r="Q51" s="552"/>
      <c r="R51" s="16"/>
      <c r="S51" s="16"/>
      <c r="X51" s="16"/>
    </row>
    <row r="52" spans="1:24" ht="15.75" customHeight="1">
      <c r="A52" s="751" t="s">
        <v>580</v>
      </c>
      <c r="B52" s="752"/>
      <c r="C52" s="752"/>
      <c r="D52" s="752"/>
      <c r="E52" s="752"/>
      <c r="F52" s="752"/>
      <c r="G52" s="753"/>
      <c r="H52" s="550" t="s">
        <v>577</v>
      </c>
      <c r="I52" s="550"/>
      <c r="J52" s="550">
        <v>1</v>
      </c>
      <c r="K52" s="550"/>
      <c r="L52" s="551">
        <f>'BANCO DE DADOS'!$K$15</f>
        <v>37</v>
      </c>
      <c r="M52" s="550"/>
      <c r="N52" s="551">
        <f t="shared" si="1"/>
        <v>37</v>
      </c>
      <c r="O52" s="550"/>
      <c r="P52" s="552"/>
      <c r="Q52" s="552"/>
      <c r="R52" s="16"/>
      <c r="S52" s="16"/>
      <c r="X52" s="16"/>
    </row>
    <row r="53" spans="1:24" ht="15.75" customHeight="1">
      <c r="A53" s="751" t="s">
        <v>244</v>
      </c>
      <c r="B53" s="752"/>
      <c r="C53" s="752"/>
      <c r="D53" s="752"/>
      <c r="E53" s="752"/>
      <c r="F53" s="752"/>
      <c r="G53" s="753"/>
      <c r="H53" s="550" t="s">
        <v>577</v>
      </c>
      <c r="I53" s="550"/>
      <c r="J53" s="550">
        <v>1</v>
      </c>
      <c r="K53" s="550"/>
      <c r="L53" s="551">
        <f>'BANCO DE DADOS'!$K$16</f>
        <v>12.91</v>
      </c>
      <c r="M53" s="550"/>
      <c r="N53" s="551">
        <f t="shared" si="1"/>
        <v>12.91</v>
      </c>
      <c r="O53" s="550"/>
      <c r="P53" s="552"/>
      <c r="Q53" s="552"/>
      <c r="R53" s="16"/>
      <c r="S53" s="16"/>
      <c r="X53" s="16"/>
    </row>
    <row r="54" spans="1:24" ht="15.75" customHeight="1">
      <c r="A54" s="751" t="s">
        <v>581</v>
      </c>
      <c r="B54" s="752"/>
      <c r="C54" s="752"/>
      <c r="D54" s="752"/>
      <c r="E54" s="752"/>
      <c r="F54" s="752"/>
      <c r="G54" s="753"/>
      <c r="H54" s="550" t="s">
        <v>577</v>
      </c>
      <c r="I54" s="550"/>
      <c r="J54" s="550">
        <v>1</v>
      </c>
      <c r="K54" s="550"/>
      <c r="L54" s="551">
        <f>'BANCO DE DADOS'!$K$17</f>
        <v>32</v>
      </c>
      <c r="M54" s="550"/>
      <c r="N54" s="551">
        <f t="shared" si="1"/>
        <v>32</v>
      </c>
      <c r="O54" s="550"/>
      <c r="P54" s="552"/>
      <c r="Q54" s="552"/>
      <c r="R54" s="16"/>
      <c r="S54" s="16"/>
      <c r="X54" s="16"/>
    </row>
    <row r="55" spans="1:24" ht="15.75" customHeight="1">
      <c r="A55" s="751" t="s">
        <v>582</v>
      </c>
      <c r="B55" s="752"/>
      <c r="C55" s="752"/>
      <c r="D55" s="752"/>
      <c r="E55" s="752"/>
      <c r="F55" s="752"/>
      <c r="G55" s="753"/>
      <c r="H55" s="550" t="s">
        <v>577</v>
      </c>
      <c r="I55" s="550"/>
      <c r="J55" s="550">
        <v>1</v>
      </c>
      <c r="K55" s="550"/>
      <c r="L55" s="551">
        <f>$G$153</f>
        <v>137.99333333333331</v>
      </c>
      <c r="M55" s="550"/>
      <c r="N55" s="551">
        <f t="shared" si="1"/>
        <v>137.99333333333331</v>
      </c>
      <c r="O55" s="550"/>
      <c r="P55" s="552"/>
      <c r="Q55" s="552"/>
      <c r="R55" s="16"/>
      <c r="S55" s="16"/>
      <c r="X55" s="16"/>
    </row>
    <row r="56" spans="1:24" ht="15.75" customHeight="1">
      <c r="A56" s="561" t="s">
        <v>583</v>
      </c>
      <c r="B56" s="562"/>
      <c r="C56" s="562"/>
      <c r="D56" s="562"/>
      <c r="E56" s="562"/>
      <c r="F56" s="562"/>
      <c r="G56" s="562"/>
      <c r="H56" s="562"/>
      <c r="I56" s="562"/>
      <c r="J56" s="562"/>
      <c r="K56" s="562"/>
      <c r="L56" s="562"/>
      <c r="M56" s="563"/>
      <c r="N56" s="560">
        <f>SUM(N46:O55)</f>
        <v>3707.7059900373338</v>
      </c>
      <c r="O56" s="555"/>
      <c r="P56" s="565"/>
      <c r="Q56" s="565"/>
      <c r="R56" s="16"/>
      <c r="S56" s="16"/>
      <c r="X56" s="16"/>
    </row>
    <row r="57" spans="1:24" ht="15.75" customHeight="1">
      <c r="A57" s="751" t="s">
        <v>584</v>
      </c>
      <c r="B57" s="752"/>
      <c r="C57" s="752"/>
      <c r="D57" s="752"/>
      <c r="E57" s="752"/>
      <c r="F57" s="752"/>
      <c r="G57" s="753"/>
      <c r="H57" s="550" t="s">
        <v>585</v>
      </c>
      <c r="I57" s="550"/>
      <c r="J57" s="550">
        <f>P27</f>
        <v>40</v>
      </c>
      <c r="K57" s="550"/>
      <c r="L57" s="551">
        <f>N56</f>
        <v>3707.7059900373338</v>
      </c>
      <c r="M57" s="550"/>
      <c r="N57" s="551">
        <f>L57*J57</f>
        <v>148308.23960149335</v>
      </c>
      <c r="O57" s="550"/>
      <c r="P57" s="552"/>
      <c r="Q57" s="552"/>
      <c r="R57" s="16"/>
      <c r="S57" s="16"/>
      <c r="X57" s="16"/>
    </row>
    <row r="58" spans="1:24" ht="15.75" customHeight="1">
      <c r="A58" s="855" t="s">
        <v>587</v>
      </c>
      <c r="B58" s="856"/>
      <c r="C58" s="856"/>
      <c r="D58" s="856"/>
      <c r="E58" s="856"/>
      <c r="F58" s="856"/>
      <c r="G58" s="856"/>
      <c r="H58" s="856"/>
      <c r="I58" s="856"/>
      <c r="J58" s="856"/>
      <c r="K58" s="856"/>
      <c r="L58" s="856"/>
      <c r="M58" s="857"/>
      <c r="N58" s="559">
        <v>1</v>
      </c>
      <c r="O58" s="559"/>
      <c r="P58" s="560">
        <f>N57*N58</f>
        <v>148308.23960149335</v>
      </c>
      <c r="Q58" s="555"/>
      <c r="R58" s="16"/>
      <c r="S58" s="16"/>
      <c r="X58" s="16"/>
    </row>
    <row r="59" spans="1:24" ht="15.6">
      <c r="A59" s="400" t="str">
        <f>A28</f>
        <v>1.2</v>
      </c>
      <c r="B59" s="390" t="str">
        <f>B28</f>
        <v>Gari Varredor (Vespertino)</v>
      </c>
      <c r="C59" s="31"/>
      <c r="D59" s="31"/>
      <c r="E59" s="31"/>
      <c r="F59" s="31"/>
      <c r="G59" s="39"/>
      <c r="H59" s="19"/>
      <c r="I59" s="42"/>
      <c r="J59" s="19"/>
      <c r="K59" s="19"/>
      <c r="L59" s="19"/>
      <c r="M59" s="19"/>
      <c r="N59" s="19"/>
      <c r="O59" s="19"/>
      <c r="P59" s="19"/>
      <c r="Q59" s="19"/>
      <c r="R59" s="18"/>
      <c r="S59" s="16"/>
      <c r="X59" s="16"/>
    </row>
    <row r="60" spans="1:24" ht="15.75" customHeight="1">
      <c r="A60" s="561" t="s">
        <v>569</v>
      </c>
      <c r="B60" s="562"/>
      <c r="C60" s="562"/>
      <c r="D60" s="562"/>
      <c r="E60" s="562"/>
      <c r="F60" s="562"/>
      <c r="G60" s="563"/>
      <c r="H60" s="555" t="s">
        <v>24</v>
      </c>
      <c r="I60" s="555"/>
      <c r="J60" s="555" t="s">
        <v>36</v>
      </c>
      <c r="K60" s="555"/>
      <c r="L60" s="555" t="s">
        <v>570</v>
      </c>
      <c r="M60" s="555"/>
      <c r="N60" s="555" t="s">
        <v>571</v>
      </c>
      <c r="O60" s="555"/>
      <c r="P60" s="555" t="s">
        <v>572</v>
      </c>
      <c r="Q60" s="555"/>
      <c r="R60" s="16"/>
      <c r="S60" s="16"/>
      <c r="X60" s="16"/>
    </row>
    <row r="61" spans="1:24" ht="15.75" customHeight="1">
      <c r="A61" s="751" t="s">
        <v>568</v>
      </c>
      <c r="B61" s="752"/>
      <c r="C61" s="752"/>
      <c r="D61" s="752"/>
      <c r="E61" s="752"/>
      <c r="F61" s="752"/>
      <c r="G61" s="753"/>
      <c r="H61" s="550" t="s">
        <v>573</v>
      </c>
      <c r="I61" s="550"/>
      <c r="J61" s="550">
        <v>1</v>
      </c>
      <c r="K61" s="550"/>
      <c r="L61" s="551">
        <f>'BANCO DE DADOS'!$E$10</f>
        <v>1102.1600000000001</v>
      </c>
      <c r="M61" s="550"/>
      <c r="N61" s="551">
        <f>L61*J61</f>
        <v>1102.1600000000001</v>
      </c>
      <c r="O61" s="550"/>
      <c r="P61" s="552"/>
      <c r="Q61" s="552"/>
      <c r="R61" s="16"/>
      <c r="S61" s="16"/>
      <c r="X61" s="16"/>
    </row>
    <row r="62" spans="1:24" ht="15.75" customHeight="1">
      <c r="A62" s="751" t="s">
        <v>68</v>
      </c>
      <c r="B62" s="752"/>
      <c r="C62" s="752"/>
      <c r="D62" s="752"/>
      <c r="E62" s="752"/>
      <c r="F62" s="752"/>
      <c r="G62" s="753"/>
      <c r="H62" s="550" t="s">
        <v>542</v>
      </c>
      <c r="I62" s="550"/>
      <c r="J62" s="576">
        <v>0.4</v>
      </c>
      <c r="K62" s="577"/>
      <c r="L62" s="551">
        <f>'BANCO DE DADOS'!$E$4</f>
        <v>1045</v>
      </c>
      <c r="M62" s="550"/>
      <c r="N62" s="551">
        <f>L62*J62</f>
        <v>418</v>
      </c>
      <c r="O62" s="550"/>
      <c r="P62" s="552"/>
      <c r="Q62" s="552"/>
      <c r="R62" s="16"/>
      <c r="S62" s="16"/>
      <c r="X62" s="16"/>
    </row>
    <row r="63" spans="1:24" ht="15.75" customHeight="1">
      <c r="A63" s="561" t="s">
        <v>571</v>
      </c>
      <c r="B63" s="562"/>
      <c r="C63" s="562"/>
      <c r="D63" s="562"/>
      <c r="E63" s="562"/>
      <c r="F63" s="562"/>
      <c r="G63" s="562"/>
      <c r="H63" s="562"/>
      <c r="I63" s="562"/>
      <c r="J63" s="562"/>
      <c r="K63" s="562"/>
      <c r="L63" s="562"/>
      <c r="M63" s="563"/>
      <c r="N63" s="560">
        <f>SUM(N61:O62)</f>
        <v>1520.16</v>
      </c>
      <c r="O63" s="555"/>
      <c r="P63" s="552"/>
      <c r="Q63" s="552"/>
      <c r="R63" s="16"/>
      <c r="S63" s="16"/>
      <c r="X63" s="16"/>
    </row>
    <row r="64" spans="1:24" ht="15.75" customHeight="1">
      <c r="A64" s="751" t="s">
        <v>1</v>
      </c>
      <c r="B64" s="752"/>
      <c r="C64" s="752"/>
      <c r="D64" s="752"/>
      <c r="E64" s="752"/>
      <c r="F64" s="752"/>
      <c r="G64" s="753"/>
      <c r="H64" s="751" t="s">
        <v>542</v>
      </c>
      <c r="I64" s="752"/>
      <c r="J64" s="564">
        <f>$G$137</f>
        <v>0.85355440000000016</v>
      </c>
      <c r="K64" s="564"/>
      <c r="L64" s="551">
        <f>N63</f>
        <v>1520.16</v>
      </c>
      <c r="M64" s="550"/>
      <c r="N64" s="551">
        <f>J64*L64</f>
        <v>1297.5392567040003</v>
      </c>
      <c r="O64" s="550"/>
      <c r="P64" s="552"/>
      <c r="Q64" s="552"/>
      <c r="R64" s="16"/>
      <c r="S64" s="16"/>
      <c r="X64" s="16"/>
    </row>
    <row r="65" spans="1:24" ht="15.75" customHeight="1">
      <c r="A65" s="751" t="s">
        <v>586</v>
      </c>
      <c r="B65" s="752"/>
      <c r="C65" s="752"/>
      <c r="D65" s="752"/>
      <c r="E65" s="752"/>
      <c r="F65" s="752"/>
      <c r="G65" s="753"/>
      <c r="H65" s="835" t="s">
        <v>577</v>
      </c>
      <c r="I65" s="836"/>
      <c r="J65" s="837">
        <v>0.06</v>
      </c>
      <c r="K65" s="630"/>
      <c r="L65" s="838">
        <f>$I$138</f>
        <v>166.4</v>
      </c>
      <c r="M65" s="839"/>
      <c r="N65" s="838">
        <f>L65-L61*J65</f>
        <v>100.27040000000001</v>
      </c>
      <c r="O65" s="839"/>
      <c r="P65" s="840"/>
      <c r="Q65" s="841"/>
      <c r="R65" s="16"/>
      <c r="S65" s="16"/>
      <c r="X65" s="16"/>
    </row>
    <row r="66" spans="1:24" ht="15.75" customHeight="1">
      <c r="A66" s="751" t="s">
        <v>588</v>
      </c>
      <c r="B66" s="752"/>
      <c r="C66" s="752"/>
      <c r="D66" s="752"/>
      <c r="E66" s="752"/>
      <c r="F66" s="752"/>
      <c r="G66" s="753"/>
      <c r="H66" s="550" t="s">
        <v>578</v>
      </c>
      <c r="I66" s="550"/>
      <c r="J66" s="550">
        <v>26</v>
      </c>
      <c r="K66" s="550"/>
      <c r="L66" s="551">
        <f>$G$142*0.9</f>
        <v>13.833</v>
      </c>
      <c r="M66" s="550"/>
      <c r="N66" s="551">
        <f t="shared" ref="N66:N72" si="2">L66*J66</f>
        <v>359.65800000000002</v>
      </c>
      <c r="O66" s="550"/>
      <c r="P66" s="552"/>
      <c r="Q66" s="552"/>
      <c r="R66" s="16"/>
      <c r="S66" s="16"/>
      <c r="X66" s="16"/>
    </row>
    <row r="67" spans="1:24" ht="15.75" customHeight="1">
      <c r="A67" s="751" t="s">
        <v>4</v>
      </c>
      <c r="B67" s="752"/>
      <c r="C67" s="752"/>
      <c r="D67" s="752"/>
      <c r="E67" s="752"/>
      <c r="F67" s="752"/>
      <c r="G67" s="753"/>
      <c r="H67" s="550" t="s">
        <v>577</v>
      </c>
      <c r="I67" s="550"/>
      <c r="J67" s="550">
        <v>1</v>
      </c>
      <c r="K67" s="550"/>
      <c r="L67" s="551">
        <f>$G$140</f>
        <v>180.15</v>
      </c>
      <c r="M67" s="550"/>
      <c r="N67" s="551">
        <f t="shared" si="2"/>
        <v>180.15</v>
      </c>
      <c r="O67" s="550"/>
      <c r="P67" s="552"/>
      <c r="Q67" s="552"/>
      <c r="R67" s="16"/>
      <c r="S67" s="16"/>
      <c r="X67" s="16"/>
    </row>
    <row r="68" spans="1:24" ht="15.75" customHeight="1">
      <c r="A68" s="751" t="s">
        <v>579</v>
      </c>
      <c r="B68" s="752"/>
      <c r="C68" s="752"/>
      <c r="D68" s="752"/>
      <c r="E68" s="752"/>
      <c r="F68" s="752"/>
      <c r="G68" s="753"/>
      <c r="H68" s="550" t="s">
        <v>577</v>
      </c>
      <c r="I68" s="550"/>
      <c r="J68" s="550">
        <v>1</v>
      </c>
      <c r="K68" s="550"/>
      <c r="L68" s="551">
        <f>(L67/12)*2</f>
        <v>30.025000000000002</v>
      </c>
      <c r="M68" s="550"/>
      <c r="N68" s="551">
        <f t="shared" si="2"/>
        <v>30.025000000000002</v>
      </c>
      <c r="O68" s="550"/>
      <c r="P68" s="552"/>
      <c r="Q68" s="552"/>
      <c r="R68" s="16"/>
      <c r="S68" s="16"/>
      <c r="X68" s="16"/>
    </row>
    <row r="69" spans="1:24" ht="15.75" customHeight="1">
      <c r="A69" s="751" t="s">
        <v>580</v>
      </c>
      <c r="B69" s="752"/>
      <c r="C69" s="752"/>
      <c r="D69" s="752"/>
      <c r="E69" s="752"/>
      <c r="F69" s="752"/>
      <c r="G69" s="753"/>
      <c r="H69" s="550" t="s">
        <v>577</v>
      </c>
      <c r="I69" s="550"/>
      <c r="J69" s="550">
        <v>1</v>
      </c>
      <c r="K69" s="550"/>
      <c r="L69" s="551">
        <f>'BANCO DE DADOS'!$K$15</f>
        <v>37</v>
      </c>
      <c r="M69" s="550"/>
      <c r="N69" s="551">
        <f t="shared" si="2"/>
        <v>37</v>
      </c>
      <c r="O69" s="550"/>
      <c r="P69" s="552"/>
      <c r="Q69" s="552"/>
      <c r="R69" s="16"/>
      <c r="S69" s="16"/>
      <c r="X69" s="16"/>
    </row>
    <row r="70" spans="1:24" ht="15.75" customHeight="1">
      <c r="A70" s="751" t="s">
        <v>244</v>
      </c>
      <c r="B70" s="752"/>
      <c r="C70" s="752"/>
      <c r="D70" s="752"/>
      <c r="E70" s="752"/>
      <c r="F70" s="752"/>
      <c r="G70" s="753"/>
      <c r="H70" s="550" t="s">
        <v>577</v>
      </c>
      <c r="I70" s="550"/>
      <c r="J70" s="550">
        <v>1</v>
      </c>
      <c r="K70" s="550"/>
      <c r="L70" s="551">
        <f>'BANCO DE DADOS'!$K$16</f>
        <v>12.91</v>
      </c>
      <c r="M70" s="550"/>
      <c r="N70" s="551">
        <f t="shared" si="2"/>
        <v>12.91</v>
      </c>
      <c r="O70" s="550"/>
      <c r="P70" s="552"/>
      <c r="Q70" s="552"/>
      <c r="R70" s="16"/>
      <c r="S70" s="16"/>
      <c r="X70" s="16"/>
    </row>
    <row r="71" spans="1:24" ht="15.75" customHeight="1">
      <c r="A71" s="751" t="s">
        <v>581</v>
      </c>
      <c r="B71" s="752"/>
      <c r="C71" s="752"/>
      <c r="D71" s="752"/>
      <c r="E71" s="752"/>
      <c r="F71" s="752"/>
      <c r="G71" s="753"/>
      <c r="H71" s="550" t="s">
        <v>577</v>
      </c>
      <c r="I71" s="550"/>
      <c r="J71" s="550">
        <v>1</v>
      </c>
      <c r="K71" s="550"/>
      <c r="L71" s="551">
        <f>'BANCO DE DADOS'!$K$17</f>
        <v>32</v>
      </c>
      <c r="M71" s="550"/>
      <c r="N71" s="551">
        <f t="shared" si="2"/>
        <v>32</v>
      </c>
      <c r="O71" s="550"/>
      <c r="P71" s="552"/>
      <c r="Q71" s="552"/>
      <c r="R71" s="16"/>
      <c r="S71" s="16"/>
      <c r="X71" s="16"/>
    </row>
    <row r="72" spans="1:24" ht="15.75" customHeight="1">
      <c r="A72" s="751" t="s">
        <v>582</v>
      </c>
      <c r="B72" s="752"/>
      <c r="C72" s="752"/>
      <c r="D72" s="752"/>
      <c r="E72" s="752"/>
      <c r="F72" s="752"/>
      <c r="G72" s="753"/>
      <c r="H72" s="550" t="s">
        <v>577</v>
      </c>
      <c r="I72" s="550"/>
      <c r="J72" s="550">
        <v>1</v>
      </c>
      <c r="K72" s="550"/>
      <c r="L72" s="551">
        <f>$G$153</f>
        <v>137.99333333333331</v>
      </c>
      <c r="M72" s="550"/>
      <c r="N72" s="551">
        <f t="shared" si="2"/>
        <v>137.99333333333331</v>
      </c>
      <c r="O72" s="550"/>
      <c r="P72" s="552"/>
      <c r="Q72" s="552"/>
      <c r="R72" s="16"/>
      <c r="S72" s="16"/>
      <c r="X72" s="16"/>
    </row>
    <row r="73" spans="1:24" ht="15.75" customHeight="1">
      <c r="A73" s="561" t="s">
        <v>583</v>
      </c>
      <c r="B73" s="562"/>
      <c r="C73" s="562"/>
      <c r="D73" s="562"/>
      <c r="E73" s="562"/>
      <c r="F73" s="562"/>
      <c r="G73" s="562"/>
      <c r="H73" s="562"/>
      <c r="I73" s="562"/>
      <c r="J73" s="562"/>
      <c r="K73" s="562"/>
      <c r="L73" s="562"/>
      <c r="M73" s="563"/>
      <c r="N73" s="560">
        <f>SUM(N63:O72)</f>
        <v>3707.7059900373338</v>
      </c>
      <c r="O73" s="555"/>
      <c r="P73" s="565"/>
      <c r="Q73" s="565"/>
      <c r="R73" s="16"/>
      <c r="S73" s="16"/>
      <c r="X73" s="16"/>
    </row>
    <row r="74" spans="1:24" ht="15.75" customHeight="1">
      <c r="A74" s="751" t="s">
        <v>584</v>
      </c>
      <c r="B74" s="752"/>
      <c r="C74" s="752"/>
      <c r="D74" s="752"/>
      <c r="E74" s="752"/>
      <c r="F74" s="752"/>
      <c r="G74" s="753"/>
      <c r="H74" s="550" t="s">
        <v>585</v>
      </c>
      <c r="I74" s="550"/>
      <c r="J74" s="550">
        <f>P28</f>
        <v>20</v>
      </c>
      <c r="K74" s="550"/>
      <c r="L74" s="551">
        <f>N73</f>
        <v>3707.7059900373338</v>
      </c>
      <c r="M74" s="550"/>
      <c r="N74" s="551">
        <f>L74*J74</f>
        <v>74154.119800746674</v>
      </c>
      <c r="O74" s="550"/>
      <c r="P74" s="552"/>
      <c r="Q74" s="552"/>
      <c r="R74" s="16"/>
      <c r="S74" s="16"/>
      <c r="X74" s="16"/>
    </row>
    <row r="75" spans="1:24" ht="15.75" customHeight="1">
      <c r="A75" s="855" t="s">
        <v>587</v>
      </c>
      <c r="B75" s="856"/>
      <c r="C75" s="856"/>
      <c r="D75" s="856"/>
      <c r="E75" s="856"/>
      <c r="F75" s="856"/>
      <c r="G75" s="856"/>
      <c r="H75" s="856"/>
      <c r="I75" s="856"/>
      <c r="J75" s="856"/>
      <c r="K75" s="856"/>
      <c r="L75" s="856"/>
      <c r="M75" s="857"/>
      <c r="N75" s="559">
        <v>1</v>
      </c>
      <c r="O75" s="559"/>
      <c r="P75" s="560">
        <f>N74*N75</f>
        <v>74154.119800746674</v>
      </c>
      <c r="Q75" s="555"/>
      <c r="R75" s="16"/>
      <c r="S75" s="16"/>
      <c r="X75" s="16"/>
    </row>
    <row r="76" spans="1:24" ht="15.6">
      <c r="A76" s="400" t="str">
        <f>A29</f>
        <v>1.3</v>
      </c>
      <c r="B76" s="390" t="str">
        <f>B29</f>
        <v>Fiscal de Varrição (Diurno)</v>
      </c>
      <c r="C76" s="31"/>
      <c r="D76" s="31"/>
      <c r="E76" s="31"/>
      <c r="F76" s="31"/>
      <c r="G76" s="39"/>
      <c r="H76" s="19"/>
      <c r="I76" s="42"/>
      <c r="J76" s="19"/>
      <c r="K76" s="19"/>
      <c r="L76" s="19"/>
      <c r="M76" s="19"/>
      <c r="N76" s="19"/>
      <c r="O76" s="19"/>
      <c r="P76" s="19"/>
      <c r="Q76" s="19"/>
      <c r="R76" s="18"/>
      <c r="S76" s="16"/>
      <c r="X76" s="16"/>
    </row>
    <row r="77" spans="1:24" ht="15.75" customHeight="1">
      <c r="A77" s="561" t="s">
        <v>569</v>
      </c>
      <c r="B77" s="562"/>
      <c r="C77" s="562"/>
      <c r="D77" s="562"/>
      <c r="E77" s="562"/>
      <c r="F77" s="562"/>
      <c r="G77" s="563"/>
      <c r="H77" s="555" t="s">
        <v>24</v>
      </c>
      <c r="I77" s="555"/>
      <c r="J77" s="555" t="s">
        <v>36</v>
      </c>
      <c r="K77" s="555"/>
      <c r="L77" s="555" t="s">
        <v>570</v>
      </c>
      <c r="M77" s="555"/>
      <c r="N77" s="555" t="s">
        <v>571</v>
      </c>
      <c r="O77" s="555"/>
      <c r="P77" s="555" t="s">
        <v>572</v>
      </c>
      <c r="Q77" s="555"/>
      <c r="R77" s="16"/>
      <c r="S77" s="16"/>
      <c r="X77" s="16"/>
    </row>
    <row r="78" spans="1:24" ht="15.75" customHeight="1">
      <c r="A78" s="751" t="s">
        <v>568</v>
      </c>
      <c r="B78" s="752"/>
      <c r="C78" s="752"/>
      <c r="D78" s="752"/>
      <c r="E78" s="752"/>
      <c r="F78" s="752"/>
      <c r="G78" s="753"/>
      <c r="H78" s="550" t="s">
        <v>573</v>
      </c>
      <c r="I78" s="550"/>
      <c r="J78" s="550">
        <v>1</v>
      </c>
      <c r="K78" s="550"/>
      <c r="L78" s="551">
        <f>'BANCO DE DADOS'!E14</f>
        <v>1700</v>
      </c>
      <c r="M78" s="550"/>
      <c r="N78" s="551">
        <f>L78*J78</f>
        <v>1700</v>
      </c>
      <c r="O78" s="550"/>
      <c r="P78" s="552"/>
      <c r="Q78" s="552"/>
      <c r="R78" s="16"/>
      <c r="S78" s="16"/>
      <c r="X78" s="16"/>
    </row>
    <row r="79" spans="1:24" ht="15.75" customHeight="1">
      <c r="A79" s="561" t="s">
        <v>571</v>
      </c>
      <c r="B79" s="562"/>
      <c r="C79" s="562"/>
      <c r="D79" s="562"/>
      <c r="E79" s="562"/>
      <c r="F79" s="562"/>
      <c r="G79" s="562"/>
      <c r="H79" s="562"/>
      <c r="I79" s="562"/>
      <c r="J79" s="562"/>
      <c r="K79" s="562"/>
      <c r="L79" s="562"/>
      <c r="M79" s="563"/>
      <c r="N79" s="560">
        <f>SUM(N78:O78)</f>
        <v>1700</v>
      </c>
      <c r="O79" s="555"/>
      <c r="P79" s="552"/>
      <c r="Q79" s="552"/>
      <c r="R79" s="16"/>
      <c r="S79" s="16"/>
      <c r="X79" s="16"/>
    </row>
    <row r="80" spans="1:24" ht="15.75" customHeight="1">
      <c r="A80" s="751" t="s">
        <v>1</v>
      </c>
      <c r="B80" s="752"/>
      <c r="C80" s="752"/>
      <c r="D80" s="752"/>
      <c r="E80" s="752"/>
      <c r="F80" s="752"/>
      <c r="G80" s="753"/>
      <c r="H80" s="751" t="s">
        <v>542</v>
      </c>
      <c r="I80" s="752"/>
      <c r="J80" s="564">
        <f>$G$137</f>
        <v>0.85355440000000016</v>
      </c>
      <c r="K80" s="564"/>
      <c r="L80" s="551">
        <f>N79</f>
        <v>1700</v>
      </c>
      <c r="M80" s="550"/>
      <c r="N80" s="551">
        <f>J80*L80</f>
        <v>1451.0424800000003</v>
      </c>
      <c r="O80" s="550"/>
      <c r="P80" s="552"/>
      <c r="Q80" s="552"/>
      <c r="R80" s="16"/>
      <c r="S80" s="16"/>
      <c r="X80" s="16"/>
    </row>
    <row r="81" spans="1:24" ht="15.75" customHeight="1">
      <c r="A81" s="751" t="s">
        <v>586</v>
      </c>
      <c r="B81" s="752"/>
      <c r="C81" s="752"/>
      <c r="D81" s="752"/>
      <c r="E81" s="752"/>
      <c r="F81" s="752"/>
      <c r="G81" s="753"/>
      <c r="H81" s="835" t="s">
        <v>577</v>
      </c>
      <c r="I81" s="836"/>
      <c r="J81" s="837">
        <v>0.06</v>
      </c>
      <c r="K81" s="630"/>
      <c r="L81" s="838">
        <f>$I$138</f>
        <v>166.4</v>
      </c>
      <c r="M81" s="839"/>
      <c r="N81" s="838">
        <f>L81-L78*J81</f>
        <v>64.400000000000006</v>
      </c>
      <c r="O81" s="839"/>
      <c r="P81" s="840"/>
      <c r="Q81" s="841"/>
      <c r="R81" s="16"/>
      <c r="S81" s="16"/>
      <c r="X81" s="16"/>
    </row>
    <row r="82" spans="1:24" ht="15.75" customHeight="1">
      <c r="A82" s="751" t="s">
        <v>588</v>
      </c>
      <c r="B82" s="752"/>
      <c r="C82" s="752"/>
      <c r="D82" s="752"/>
      <c r="E82" s="752"/>
      <c r="F82" s="752"/>
      <c r="G82" s="753"/>
      <c r="H82" s="550" t="s">
        <v>578</v>
      </c>
      <c r="I82" s="550"/>
      <c r="J82" s="550">
        <v>26</v>
      </c>
      <c r="K82" s="550"/>
      <c r="L82" s="551">
        <f>$G$142*0.9</f>
        <v>13.833</v>
      </c>
      <c r="M82" s="550"/>
      <c r="N82" s="551">
        <f t="shared" ref="N82:N88" si="3">L82*J82</f>
        <v>359.65800000000002</v>
      </c>
      <c r="O82" s="550"/>
      <c r="P82" s="552"/>
      <c r="Q82" s="552"/>
      <c r="R82" s="16"/>
      <c r="S82" s="16"/>
      <c r="X82" s="16"/>
    </row>
    <row r="83" spans="1:24" ht="15.75" customHeight="1">
      <c r="A83" s="751" t="s">
        <v>4</v>
      </c>
      <c r="B83" s="752"/>
      <c r="C83" s="752"/>
      <c r="D83" s="752"/>
      <c r="E83" s="752"/>
      <c r="F83" s="752"/>
      <c r="G83" s="753"/>
      <c r="H83" s="550" t="s">
        <v>577</v>
      </c>
      <c r="I83" s="550"/>
      <c r="J83" s="550">
        <v>1</v>
      </c>
      <c r="K83" s="550"/>
      <c r="L83" s="551">
        <f>$G$140</f>
        <v>180.15</v>
      </c>
      <c r="M83" s="550"/>
      <c r="N83" s="551">
        <f t="shared" si="3"/>
        <v>180.15</v>
      </c>
      <c r="O83" s="550"/>
      <c r="P83" s="552"/>
      <c r="Q83" s="552"/>
      <c r="R83" s="16"/>
      <c r="S83" s="16"/>
      <c r="X83" s="16"/>
    </row>
    <row r="84" spans="1:24" ht="15.75" customHeight="1">
      <c r="A84" s="751" t="s">
        <v>579</v>
      </c>
      <c r="B84" s="752"/>
      <c r="C84" s="752"/>
      <c r="D84" s="752"/>
      <c r="E84" s="752"/>
      <c r="F84" s="752"/>
      <c r="G84" s="753"/>
      <c r="H84" s="550" t="s">
        <v>577</v>
      </c>
      <c r="I84" s="550"/>
      <c r="J84" s="550">
        <v>1</v>
      </c>
      <c r="K84" s="550"/>
      <c r="L84" s="551">
        <f>(L83/12)*2</f>
        <v>30.025000000000002</v>
      </c>
      <c r="M84" s="550"/>
      <c r="N84" s="551">
        <f t="shared" si="3"/>
        <v>30.025000000000002</v>
      </c>
      <c r="O84" s="550"/>
      <c r="P84" s="552"/>
      <c r="Q84" s="552"/>
      <c r="R84" s="16"/>
      <c r="S84" s="16"/>
      <c r="X84" s="16"/>
    </row>
    <row r="85" spans="1:24" ht="15.75" customHeight="1">
      <c r="A85" s="751" t="s">
        <v>580</v>
      </c>
      <c r="B85" s="752"/>
      <c r="C85" s="752"/>
      <c r="D85" s="752"/>
      <c r="E85" s="752"/>
      <c r="F85" s="752"/>
      <c r="G85" s="753"/>
      <c r="H85" s="550" t="s">
        <v>577</v>
      </c>
      <c r="I85" s="550"/>
      <c r="J85" s="550">
        <v>1</v>
      </c>
      <c r="K85" s="550"/>
      <c r="L85" s="551">
        <f>'BANCO DE DADOS'!$K$15</f>
        <v>37</v>
      </c>
      <c r="M85" s="550"/>
      <c r="N85" s="551">
        <f t="shared" si="3"/>
        <v>37</v>
      </c>
      <c r="O85" s="550"/>
      <c r="P85" s="552"/>
      <c r="Q85" s="552"/>
      <c r="R85" s="16"/>
      <c r="S85" s="16"/>
      <c r="X85" s="16"/>
    </row>
    <row r="86" spans="1:24" ht="15.75" customHeight="1">
      <c r="A86" s="751" t="s">
        <v>244</v>
      </c>
      <c r="B86" s="752"/>
      <c r="C86" s="752"/>
      <c r="D86" s="752"/>
      <c r="E86" s="752"/>
      <c r="F86" s="752"/>
      <c r="G86" s="753"/>
      <c r="H86" s="550" t="s">
        <v>577</v>
      </c>
      <c r="I86" s="550"/>
      <c r="J86" s="550">
        <v>1</v>
      </c>
      <c r="K86" s="550"/>
      <c r="L86" s="551">
        <f>'BANCO DE DADOS'!$K$16</f>
        <v>12.91</v>
      </c>
      <c r="M86" s="550"/>
      <c r="N86" s="551">
        <f t="shared" si="3"/>
        <v>12.91</v>
      </c>
      <c r="O86" s="550"/>
      <c r="P86" s="552"/>
      <c r="Q86" s="552"/>
      <c r="R86" s="16"/>
      <c r="S86" s="16"/>
      <c r="X86" s="16"/>
    </row>
    <row r="87" spans="1:24" ht="15.75" customHeight="1">
      <c r="A87" s="751" t="s">
        <v>581</v>
      </c>
      <c r="B87" s="752"/>
      <c r="C87" s="752"/>
      <c r="D87" s="752"/>
      <c r="E87" s="752"/>
      <c r="F87" s="752"/>
      <c r="G87" s="753"/>
      <c r="H87" s="550" t="s">
        <v>577</v>
      </c>
      <c r="I87" s="550"/>
      <c r="J87" s="550">
        <v>1</v>
      </c>
      <c r="K87" s="550"/>
      <c r="L87" s="551">
        <f>'BANCO DE DADOS'!$K$17</f>
        <v>32</v>
      </c>
      <c r="M87" s="550"/>
      <c r="N87" s="551">
        <f t="shared" si="3"/>
        <v>32</v>
      </c>
      <c r="O87" s="550"/>
      <c r="P87" s="552"/>
      <c r="Q87" s="552"/>
      <c r="R87" s="16"/>
      <c r="S87" s="16"/>
      <c r="X87" s="16"/>
    </row>
    <row r="88" spans="1:24" ht="15.75" customHeight="1">
      <c r="A88" s="751" t="s">
        <v>582</v>
      </c>
      <c r="B88" s="752"/>
      <c r="C88" s="752"/>
      <c r="D88" s="752"/>
      <c r="E88" s="752"/>
      <c r="F88" s="752"/>
      <c r="G88" s="753"/>
      <c r="H88" s="550" t="s">
        <v>577</v>
      </c>
      <c r="I88" s="550"/>
      <c r="J88" s="550">
        <v>1</v>
      </c>
      <c r="K88" s="550"/>
      <c r="L88" s="551">
        <f>$K$153</f>
        <v>43.91</v>
      </c>
      <c r="M88" s="550"/>
      <c r="N88" s="551">
        <f t="shared" si="3"/>
        <v>43.91</v>
      </c>
      <c r="O88" s="550"/>
      <c r="P88" s="552"/>
      <c r="Q88" s="552"/>
      <c r="R88" s="16"/>
      <c r="S88" s="16"/>
      <c r="X88" s="16"/>
    </row>
    <row r="89" spans="1:24" ht="15.75" customHeight="1">
      <c r="A89" s="561" t="s">
        <v>583</v>
      </c>
      <c r="B89" s="562"/>
      <c r="C89" s="562"/>
      <c r="D89" s="562"/>
      <c r="E89" s="562"/>
      <c r="F89" s="562"/>
      <c r="G89" s="562"/>
      <c r="H89" s="562"/>
      <c r="I89" s="562"/>
      <c r="J89" s="562"/>
      <c r="K89" s="562"/>
      <c r="L89" s="562"/>
      <c r="M89" s="563"/>
      <c r="N89" s="560">
        <f>SUM(N79:O88)</f>
        <v>3911.09548</v>
      </c>
      <c r="O89" s="555"/>
      <c r="P89" s="565"/>
      <c r="Q89" s="565"/>
      <c r="R89" s="16"/>
      <c r="S89" s="16"/>
      <c r="X89" s="16"/>
    </row>
    <row r="90" spans="1:24" ht="15.75" customHeight="1">
      <c r="A90" s="751" t="s">
        <v>584</v>
      </c>
      <c r="B90" s="752"/>
      <c r="C90" s="752"/>
      <c r="D90" s="752"/>
      <c r="E90" s="752"/>
      <c r="F90" s="752"/>
      <c r="G90" s="753"/>
      <c r="H90" s="550" t="s">
        <v>585</v>
      </c>
      <c r="I90" s="550"/>
      <c r="J90" s="550">
        <v>2</v>
      </c>
      <c r="K90" s="550"/>
      <c r="L90" s="551">
        <f>N89</f>
        <v>3911.09548</v>
      </c>
      <c r="M90" s="550"/>
      <c r="N90" s="551">
        <f>L90*J90</f>
        <v>7822.1909599999999</v>
      </c>
      <c r="O90" s="550"/>
      <c r="P90" s="552"/>
      <c r="Q90" s="552"/>
      <c r="R90" s="16"/>
      <c r="S90" s="16"/>
      <c r="X90" s="16"/>
    </row>
    <row r="91" spans="1:24" ht="15.75" customHeight="1">
      <c r="A91" s="855" t="s">
        <v>587</v>
      </c>
      <c r="B91" s="856"/>
      <c r="C91" s="856"/>
      <c r="D91" s="856"/>
      <c r="E91" s="856"/>
      <c r="F91" s="856"/>
      <c r="G91" s="856"/>
      <c r="H91" s="856"/>
      <c r="I91" s="856"/>
      <c r="J91" s="856"/>
      <c r="K91" s="856"/>
      <c r="L91" s="856"/>
      <c r="M91" s="857"/>
      <c r="N91" s="559">
        <v>1</v>
      </c>
      <c r="O91" s="559"/>
      <c r="P91" s="560">
        <f>N90*N91</f>
        <v>7822.1909599999999</v>
      </c>
      <c r="Q91" s="555"/>
      <c r="R91" s="16"/>
      <c r="S91" s="16"/>
      <c r="X91" s="16"/>
    </row>
    <row r="92" spans="1:24" ht="15.6">
      <c r="A92" s="400" t="str">
        <f>A30</f>
        <v>1.4</v>
      </c>
      <c r="B92" s="390" t="str">
        <f>B31</f>
        <v>Motorista Van</v>
      </c>
      <c r="C92" s="31"/>
      <c r="D92" s="31"/>
      <c r="E92" s="31"/>
      <c r="F92" s="31"/>
      <c r="G92" s="39"/>
      <c r="H92" s="19"/>
      <c r="I92" s="42"/>
      <c r="J92" s="19"/>
      <c r="K92" s="19"/>
      <c r="L92" s="19"/>
      <c r="M92" s="19"/>
      <c r="N92" s="19"/>
      <c r="O92" s="19"/>
      <c r="P92" s="19"/>
      <c r="Q92" s="19"/>
      <c r="R92" s="18"/>
      <c r="S92" s="16"/>
      <c r="X92" s="16"/>
    </row>
    <row r="93" spans="1:24" ht="15.75" customHeight="1">
      <c r="A93" s="561" t="s">
        <v>569</v>
      </c>
      <c r="B93" s="562"/>
      <c r="C93" s="562"/>
      <c r="D93" s="562"/>
      <c r="E93" s="562"/>
      <c r="F93" s="562"/>
      <c r="G93" s="563"/>
      <c r="H93" s="555" t="s">
        <v>24</v>
      </c>
      <c r="I93" s="555"/>
      <c r="J93" s="555" t="s">
        <v>36</v>
      </c>
      <c r="K93" s="555"/>
      <c r="L93" s="555" t="s">
        <v>570</v>
      </c>
      <c r="M93" s="555"/>
      <c r="N93" s="555" t="s">
        <v>571</v>
      </c>
      <c r="O93" s="555"/>
      <c r="P93" s="555" t="s">
        <v>572</v>
      </c>
      <c r="Q93" s="555"/>
      <c r="R93" s="16"/>
      <c r="S93" s="16"/>
      <c r="X93" s="16"/>
    </row>
    <row r="94" spans="1:24" ht="15.75" customHeight="1">
      <c r="A94" s="751" t="s">
        <v>568</v>
      </c>
      <c r="B94" s="752"/>
      <c r="C94" s="752"/>
      <c r="D94" s="752"/>
      <c r="E94" s="752"/>
      <c r="F94" s="752"/>
      <c r="G94" s="753"/>
      <c r="H94" s="550" t="s">
        <v>573</v>
      </c>
      <c r="I94" s="550"/>
      <c r="J94" s="550">
        <v>1</v>
      </c>
      <c r="K94" s="550"/>
      <c r="L94" s="551">
        <f>'BANCO DE DADOS'!E16</f>
        <v>1658.91</v>
      </c>
      <c r="M94" s="550"/>
      <c r="N94" s="551">
        <f>L94*J94</f>
        <v>1658.91</v>
      </c>
      <c r="O94" s="550"/>
      <c r="P94" s="552"/>
      <c r="Q94" s="552"/>
      <c r="R94" s="16"/>
      <c r="S94" s="16"/>
      <c r="X94" s="16"/>
    </row>
    <row r="95" spans="1:24" ht="15.75" customHeight="1">
      <c r="A95" s="561" t="s">
        <v>571</v>
      </c>
      <c r="B95" s="562"/>
      <c r="C95" s="562"/>
      <c r="D95" s="562"/>
      <c r="E95" s="562"/>
      <c r="F95" s="562"/>
      <c r="G95" s="562"/>
      <c r="H95" s="562"/>
      <c r="I95" s="562"/>
      <c r="J95" s="562"/>
      <c r="K95" s="562"/>
      <c r="L95" s="562"/>
      <c r="M95" s="563"/>
      <c r="N95" s="560">
        <f>SUM(N94:O94)</f>
        <v>1658.91</v>
      </c>
      <c r="O95" s="555"/>
      <c r="P95" s="552"/>
      <c r="Q95" s="552"/>
      <c r="R95" s="16"/>
      <c r="S95" s="16"/>
      <c r="X95" s="16"/>
    </row>
    <row r="96" spans="1:24" ht="15.75" customHeight="1">
      <c r="A96" s="751" t="s">
        <v>1</v>
      </c>
      <c r="B96" s="752"/>
      <c r="C96" s="752"/>
      <c r="D96" s="752"/>
      <c r="E96" s="752"/>
      <c r="F96" s="752"/>
      <c r="G96" s="753"/>
      <c r="H96" s="751" t="s">
        <v>542</v>
      </c>
      <c r="I96" s="752"/>
      <c r="J96" s="564">
        <f>$G$137</f>
        <v>0.85355440000000016</v>
      </c>
      <c r="K96" s="564"/>
      <c r="L96" s="551">
        <f>N95</f>
        <v>1658.91</v>
      </c>
      <c r="M96" s="550"/>
      <c r="N96" s="551">
        <f>J96*L96</f>
        <v>1415.9699297040004</v>
      </c>
      <c r="O96" s="550"/>
      <c r="P96" s="552"/>
      <c r="Q96" s="552"/>
      <c r="R96" s="16"/>
      <c r="S96" s="16"/>
      <c r="X96" s="16"/>
    </row>
    <row r="97" spans="1:24" ht="15.75" customHeight="1">
      <c r="A97" s="751" t="s">
        <v>586</v>
      </c>
      <c r="B97" s="752"/>
      <c r="C97" s="752"/>
      <c r="D97" s="752"/>
      <c r="E97" s="752"/>
      <c r="F97" s="752"/>
      <c r="G97" s="753"/>
      <c r="H97" s="835" t="s">
        <v>577</v>
      </c>
      <c r="I97" s="836"/>
      <c r="J97" s="837">
        <v>0.06</v>
      </c>
      <c r="K97" s="630"/>
      <c r="L97" s="838">
        <f>$I$138</f>
        <v>166.4</v>
      </c>
      <c r="M97" s="839"/>
      <c r="N97" s="838">
        <f>L97-L94*J97</f>
        <v>66.865400000000008</v>
      </c>
      <c r="O97" s="839"/>
      <c r="P97" s="840"/>
      <c r="Q97" s="841"/>
      <c r="R97" s="16"/>
      <c r="S97" s="16"/>
      <c r="X97" s="16"/>
    </row>
    <row r="98" spans="1:24" ht="15.75" customHeight="1">
      <c r="A98" s="751" t="s">
        <v>588</v>
      </c>
      <c r="B98" s="752"/>
      <c r="C98" s="752"/>
      <c r="D98" s="752"/>
      <c r="E98" s="752"/>
      <c r="F98" s="752"/>
      <c r="G98" s="753"/>
      <c r="H98" s="550" t="s">
        <v>578</v>
      </c>
      <c r="I98" s="550"/>
      <c r="J98" s="550">
        <v>26</v>
      </c>
      <c r="K98" s="550"/>
      <c r="L98" s="551">
        <f>$G$142*0.9</f>
        <v>13.833</v>
      </c>
      <c r="M98" s="550"/>
      <c r="N98" s="551">
        <f t="shared" ref="N98:N104" si="4">L98*J98</f>
        <v>359.65800000000002</v>
      </c>
      <c r="O98" s="550"/>
      <c r="P98" s="552"/>
      <c r="Q98" s="552"/>
      <c r="R98" s="16"/>
      <c r="S98" s="16"/>
      <c r="X98" s="16"/>
    </row>
    <row r="99" spans="1:24" ht="15.75" customHeight="1">
      <c r="A99" s="751" t="s">
        <v>4</v>
      </c>
      <c r="B99" s="752"/>
      <c r="C99" s="752"/>
      <c r="D99" s="752"/>
      <c r="E99" s="752"/>
      <c r="F99" s="752"/>
      <c r="G99" s="753"/>
      <c r="H99" s="550" t="s">
        <v>577</v>
      </c>
      <c r="I99" s="550"/>
      <c r="J99" s="550">
        <v>1</v>
      </c>
      <c r="K99" s="550"/>
      <c r="L99" s="551">
        <f>G141</f>
        <v>171.52</v>
      </c>
      <c r="M99" s="550"/>
      <c r="N99" s="551">
        <f t="shared" si="4"/>
        <v>171.52</v>
      </c>
      <c r="O99" s="550"/>
      <c r="P99" s="552"/>
      <c r="Q99" s="552"/>
      <c r="R99" s="16"/>
      <c r="S99" s="16"/>
      <c r="X99" s="16"/>
    </row>
    <row r="100" spans="1:24" ht="15.75" customHeight="1">
      <c r="A100" s="751" t="s">
        <v>579</v>
      </c>
      <c r="B100" s="752"/>
      <c r="C100" s="752"/>
      <c r="D100" s="752"/>
      <c r="E100" s="752"/>
      <c r="F100" s="752"/>
      <c r="G100" s="753"/>
      <c r="H100" s="550" t="s">
        <v>577</v>
      </c>
      <c r="I100" s="550"/>
      <c r="J100" s="550">
        <v>1</v>
      </c>
      <c r="K100" s="550"/>
      <c r="L100" s="551">
        <f>(L99/12)*2</f>
        <v>28.58666666666667</v>
      </c>
      <c r="M100" s="550"/>
      <c r="N100" s="551">
        <f t="shared" si="4"/>
        <v>28.58666666666667</v>
      </c>
      <c r="O100" s="550"/>
      <c r="P100" s="552"/>
      <c r="Q100" s="552"/>
      <c r="R100" s="16"/>
      <c r="S100" s="16"/>
      <c r="X100" s="16"/>
    </row>
    <row r="101" spans="1:24" ht="15.75" customHeight="1">
      <c r="A101" s="751" t="s">
        <v>580</v>
      </c>
      <c r="B101" s="752"/>
      <c r="C101" s="752"/>
      <c r="D101" s="752"/>
      <c r="E101" s="752"/>
      <c r="F101" s="752"/>
      <c r="G101" s="753"/>
      <c r="H101" s="550" t="s">
        <v>577</v>
      </c>
      <c r="I101" s="550"/>
      <c r="J101" s="550">
        <v>1</v>
      </c>
      <c r="K101" s="550"/>
      <c r="L101" s="551">
        <f>'BANCO DE DADOS'!$K$15</f>
        <v>37</v>
      </c>
      <c r="M101" s="550"/>
      <c r="N101" s="551">
        <f t="shared" si="4"/>
        <v>37</v>
      </c>
      <c r="O101" s="550"/>
      <c r="P101" s="552"/>
      <c r="Q101" s="552"/>
      <c r="R101" s="16"/>
      <c r="S101" s="16"/>
      <c r="X101" s="16"/>
    </row>
    <row r="102" spans="1:24" ht="15.75" customHeight="1">
      <c r="A102" s="751" t="s">
        <v>244</v>
      </c>
      <c r="B102" s="752"/>
      <c r="C102" s="752"/>
      <c r="D102" s="752"/>
      <c r="E102" s="752"/>
      <c r="F102" s="752"/>
      <c r="G102" s="753"/>
      <c r="H102" s="550" t="s">
        <v>577</v>
      </c>
      <c r="I102" s="550"/>
      <c r="J102" s="550">
        <v>1</v>
      </c>
      <c r="K102" s="550"/>
      <c r="L102" s="551">
        <f>'BANCO DE DADOS'!$K$16</f>
        <v>12.91</v>
      </c>
      <c r="M102" s="550"/>
      <c r="N102" s="551">
        <f t="shared" si="4"/>
        <v>12.91</v>
      </c>
      <c r="O102" s="550"/>
      <c r="P102" s="552"/>
      <c r="Q102" s="552"/>
      <c r="R102" s="16"/>
      <c r="S102" s="16"/>
      <c r="X102" s="16"/>
    </row>
    <row r="103" spans="1:24" ht="15.75" customHeight="1">
      <c r="A103" s="751" t="s">
        <v>581</v>
      </c>
      <c r="B103" s="752"/>
      <c r="C103" s="752"/>
      <c r="D103" s="752"/>
      <c r="E103" s="752"/>
      <c r="F103" s="752"/>
      <c r="G103" s="753"/>
      <c r="H103" s="550" t="s">
        <v>577</v>
      </c>
      <c r="I103" s="550"/>
      <c r="J103" s="550">
        <v>1</v>
      </c>
      <c r="K103" s="550"/>
      <c r="L103" s="551">
        <f>'BANCO DE DADOS'!$K$17</f>
        <v>32</v>
      </c>
      <c r="M103" s="550"/>
      <c r="N103" s="551">
        <f t="shared" si="4"/>
        <v>32</v>
      </c>
      <c r="O103" s="550"/>
      <c r="P103" s="552"/>
      <c r="Q103" s="552"/>
      <c r="R103" s="16"/>
      <c r="S103" s="16"/>
      <c r="X103" s="16"/>
    </row>
    <row r="104" spans="1:24" ht="15.75" customHeight="1">
      <c r="A104" s="751" t="s">
        <v>582</v>
      </c>
      <c r="B104" s="752"/>
      <c r="C104" s="752"/>
      <c r="D104" s="752"/>
      <c r="E104" s="752"/>
      <c r="F104" s="752"/>
      <c r="G104" s="753"/>
      <c r="H104" s="550" t="s">
        <v>577</v>
      </c>
      <c r="I104" s="550"/>
      <c r="J104" s="550">
        <v>1</v>
      </c>
      <c r="K104" s="550"/>
      <c r="L104" s="551">
        <f>$I$153</f>
        <v>47</v>
      </c>
      <c r="M104" s="550"/>
      <c r="N104" s="551">
        <f t="shared" si="4"/>
        <v>47</v>
      </c>
      <c r="O104" s="550"/>
      <c r="P104" s="552"/>
      <c r="Q104" s="552"/>
      <c r="R104" s="16"/>
      <c r="S104" s="16"/>
      <c r="X104" s="16"/>
    </row>
    <row r="105" spans="1:24" ht="15.75" customHeight="1">
      <c r="A105" s="561" t="s">
        <v>583</v>
      </c>
      <c r="B105" s="562"/>
      <c r="C105" s="562"/>
      <c r="D105" s="562"/>
      <c r="E105" s="562"/>
      <c r="F105" s="562"/>
      <c r="G105" s="562"/>
      <c r="H105" s="562"/>
      <c r="I105" s="562"/>
      <c r="J105" s="562"/>
      <c r="K105" s="562"/>
      <c r="L105" s="562"/>
      <c r="M105" s="563"/>
      <c r="N105" s="560">
        <f>SUM(N95:O104)</f>
        <v>3830.4199963706669</v>
      </c>
      <c r="O105" s="555"/>
      <c r="P105" s="565"/>
      <c r="Q105" s="565"/>
      <c r="R105" s="16"/>
      <c r="S105" s="16"/>
      <c r="X105" s="16"/>
    </row>
    <row r="106" spans="1:24" ht="15.75" customHeight="1">
      <c r="A106" s="751" t="s">
        <v>584</v>
      </c>
      <c r="B106" s="752"/>
      <c r="C106" s="752"/>
      <c r="D106" s="752"/>
      <c r="E106" s="752"/>
      <c r="F106" s="752"/>
      <c r="G106" s="753"/>
      <c r="H106" s="550" t="s">
        <v>585</v>
      </c>
      <c r="I106" s="550"/>
      <c r="J106" s="550">
        <v>2</v>
      </c>
      <c r="K106" s="550"/>
      <c r="L106" s="551">
        <f>N105</f>
        <v>3830.4199963706669</v>
      </c>
      <c r="M106" s="550"/>
      <c r="N106" s="551">
        <f>L106*J106</f>
        <v>7660.8399927413338</v>
      </c>
      <c r="O106" s="550"/>
      <c r="P106" s="552"/>
      <c r="Q106" s="552"/>
      <c r="R106" s="16"/>
      <c r="S106" s="16"/>
      <c r="X106" s="16"/>
    </row>
    <row r="107" spans="1:24" ht="15.75" customHeight="1">
      <c r="A107" s="855" t="s">
        <v>587</v>
      </c>
      <c r="B107" s="856"/>
      <c r="C107" s="856"/>
      <c r="D107" s="856"/>
      <c r="E107" s="856"/>
      <c r="F107" s="856"/>
      <c r="G107" s="856"/>
      <c r="H107" s="856"/>
      <c r="I107" s="856"/>
      <c r="J107" s="856"/>
      <c r="K107" s="856"/>
      <c r="L107" s="856"/>
      <c r="M107" s="857"/>
      <c r="N107" s="559">
        <v>1</v>
      </c>
      <c r="O107" s="559"/>
      <c r="P107" s="560">
        <f>N106*N107</f>
        <v>7660.8399927413338</v>
      </c>
      <c r="Q107" s="555"/>
      <c r="R107" s="16"/>
      <c r="S107" s="16"/>
      <c r="X107" s="16"/>
    </row>
    <row r="108" spans="1:24" ht="15.6">
      <c r="A108" s="400" t="str">
        <f>A31</f>
        <v>1.5</v>
      </c>
      <c r="B108" s="390" t="str">
        <f>B32</f>
        <v>Chefe de Turma</v>
      </c>
      <c r="C108" s="31"/>
      <c r="D108" s="31"/>
      <c r="E108" s="31"/>
      <c r="F108" s="31"/>
      <c r="G108" s="39"/>
      <c r="H108" s="19"/>
      <c r="I108" s="42"/>
      <c r="J108" s="19"/>
      <c r="K108" s="19"/>
      <c r="L108" s="19"/>
      <c r="M108" s="19"/>
      <c r="N108" s="19"/>
      <c r="O108" s="19"/>
      <c r="P108" s="19"/>
      <c r="Q108" s="19"/>
      <c r="R108" s="18"/>
      <c r="S108" s="16"/>
      <c r="X108" s="16"/>
    </row>
    <row r="109" spans="1:24" ht="15.75" customHeight="1">
      <c r="A109" s="561" t="s">
        <v>569</v>
      </c>
      <c r="B109" s="562"/>
      <c r="C109" s="562"/>
      <c r="D109" s="562"/>
      <c r="E109" s="562"/>
      <c r="F109" s="562"/>
      <c r="G109" s="563"/>
      <c r="H109" s="555" t="s">
        <v>24</v>
      </c>
      <c r="I109" s="555"/>
      <c r="J109" s="555" t="s">
        <v>36</v>
      </c>
      <c r="K109" s="555"/>
      <c r="L109" s="555" t="s">
        <v>570</v>
      </c>
      <c r="M109" s="555"/>
      <c r="N109" s="555" t="s">
        <v>571</v>
      </c>
      <c r="O109" s="555"/>
      <c r="P109" s="555" t="s">
        <v>572</v>
      </c>
      <c r="Q109" s="555"/>
      <c r="R109" s="16"/>
      <c r="S109" s="16"/>
      <c r="X109" s="16"/>
    </row>
    <row r="110" spans="1:24" ht="15.75" customHeight="1">
      <c r="A110" s="751" t="s">
        <v>568</v>
      </c>
      <c r="B110" s="752"/>
      <c r="C110" s="752"/>
      <c r="D110" s="752"/>
      <c r="E110" s="752"/>
      <c r="F110" s="752"/>
      <c r="G110" s="753"/>
      <c r="H110" s="550" t="s">
        <v>573</v>
      </c>
      <c r="I110" s="550"/>
      <c r="J110" s="550">
        <v>1</v>
      </c>
      <c r="K110" s="550"/>
      <c r="L110" s="551">
        <v>2000</v>
      </c>
      <c r="M110" s="550"/>
      <c r="N110" s="551">
        <f>L110*J110</f>
        <v>2000</v>
      </c>
      <c r="O110" s="550"/>
      <c r="P110" s="552"/>
      <c r="Q110" s="552"/>
      <c r="R110" s="16"/>
      <c r="S110" s="16"/>
      <c r="X110" s="16"/>
    </row>
    <row r="111" spans="1:24" ht="15.75" customHeight="1">
      <c r="A111" s="561" t="s">
        <v>571</v>
      </c>
      <c r="B111" s="562"/>
      <c r="C111" s="562"/>
      <c r="D111" s="562"/>
      <c r="E111" s="562"/>
      <c r="F111" s="562"/>
      <c r="G111" s="562"/>
      <c r="H111" s="562"/>
      <c r="I111" s="562"/>
      <c r="J111" s="562"/>
      <c r="K111" s="562"/>
      <c r="L111" s="562"/>
      <c r="M111" s="563"/>
      <c r="N111" s="560">
        <f>SUM(N110:O110)</f>
        <v>2000</v>
      </c>
      <c r="O111" s="555"/>
      <c r="P111" s="552"/>
      <c r="Q111" s="552"/>
      <c r="R111" s="16"/>
      <c r="S111" s="16"/>
      <c r="X111" s="16"/>
    </row>
    <row r="112" spans="1:24" ht="15.75" customHeight="1">
      <c r="A112" s="751" t="s">
        <v>1</v>
      </c>
      <c r="B112" s="752"/>
      <c r="C112" s="752"/>
      <c r="D112" s="752"/>
      <c r="E112" s="752"/>
      <c r="F112" s="752"/>
      <c r="G112" s="753"/>
      <c r="H112" s="751" t="s">
        <v>542</v>
      </c>
      <c r="I112" s="752"/>
      <c r="J112" s="564">
        <f>$G$137</f>
        <v>0.85355440000000016</v>
      </c>
      <c r="K112" s="564"/>
      <c r="L112" s="551">
        <f>N111</f>
        <v>2000</v>
      </c>
      <c r="M112" s="550"/>
      <c r="N112" s="551">
        <f>J112*L112</f>
        <v>1707.1088000000004</v>
      </c>
      <c r="O112" s="550"/>
      <c r="P112" s="552"/>
      <c r="Q112" s="552"/>
      <c r="R112" s="16"/>
      <c r="S112" s="16"/>
      <c r="X112" s="16"/>
    </row>
    <row r="113" spans="1:24" ht="15.75" customHeight="1">
      <c r="A113" s="751" t="s">
        <v>586</v>
      </c>
      <c r="B113" s="752"/>
      <c r="C113" s="752"/>
      <c r="D113" s="752"/>
      <c r="E113" s="752"/>
      <c r="F113" s="752"/>
      <c r="G113" s="753"/>
      <c r="H113" s="835" t="s">
        <v>577</v>
      </c>
      <c r="I113" s="836"/>
      <c r="J113" s="837">
        <v>0.06</v>
      </c>
      <c r="K113" s="630"/>
      <c r="L113" s="838">
        <f>$I$138</f>
        <v>166.4</v>
      </c>
      <c r="M113" s="839"/>
      <c r="N113" s="838">
        <f>L113-L110*J113</f>
        <v>46.400000000000006</v>
      </c>
      <c r="O113" s="839"/>
      <c r="P113" s="840"/>
      <c r="Q113" s="841"/>
      <c r="R113" s="16"/>
      <c r="S113" s="16"/>
      <c r="X113" s="16"/>
    </row>
    <row r="114" spans="1:24" ht="15.75" customHeight="1">
      <c r="A114" s="751" t="s">
        <v>588</v>
      </c>
      <c r="B114" s="752"/>
      <c r="C114" s="752"/>
      <c r="D114" s="752"/>
      <c r="E114" s="752"/>
      <c r="F114" s="752"/>
      <c r="G114" s="753"/>
      <c r="H114" s="550" t="s">
        <v>578</v>
      </c>
      <c r="I114" s="550"/>
      <c r="J114" s="550">
        <v>26</v>
      </c>
      <c r="K114" s="550"/>
      <c r="L114" s="551">
        <f>$G$142*0.9</f>
        <v>13.833</v>
      </c>
      <c r="M114" s="550"/>
      <c r="N114" s="551">
        <f t="shared" ref="N114:N120" si="5">L114*J114</f>
        <v>359.65800000000002</v>
      </c>
      <c r="O114" s="550"/>
      <c r="P114" s="552"/>
      <c r="Q114" s="552"/>
      <c r="R114" s="16"/>
      <c r="S114" s="16"/>
      <c r="X114" s="16"/>
    </row>
    <row r="115" spans="1:24" ht="15.75" customHeight="1">
      <c r="A115" s="751" t="s">
        <v>4</v>
      </c>
      <c r="B115" s="752"/>
      <c r="C115" s="752"/>
      <c r="D115" s="752"/>
      <c r="E115" s="752"/>
      <c r="F115" s="752"/>
      <c r="G115" s="753"/>
      <c r="H115" s="550" t="s">
        <v>577</v>
      </c>
      <c r="I115" s="550"/>
      <c r="J115" s="550">
        <v>1</v>
      </c>
      <c r="K115" s="550"/>
      <c r="L115" s="551">
        <f>$G$140</f>
        <v>180.15</v>
      </c>
      <c r="M115" s="550"/>
      <c r="N115" s="551">
        <f t="shared" si="5"/>
        <v>180.15</v>
      </c>
      <c r="O115" s="550"/>
      <c r="P115" s="552"/>
      <c r="Q115" s="552"/>
      <c r="R115" s="16"/>
      <c r="S115" s="16"/>
      <c r="X115" s="16"/>
    </row>
    <row r="116" spans="1:24" ht="15.75" customHeight="1">
      <c r="A116" s="751" t="s">
        <v>579</v>
      </c>
      <c r="B116" s="752"/>
      <c r="C116" s="752"/>
      <c r="D116" s="752"/>
      <c r="E116" s="752"/>
      <c r="F116" s="752"/>
      <c r="G116" s="753"/>
      <c r="H116" s="550" t="s">
        <v>577</v>
      </c>
      <c r="I116" s="550"/>
      <c r="J116" s="550">
        <v>1</v>
      </c>
      <c r="K116" s="550"/>
      <c r="L116" s="551">
        <f>(L115/12)*2</f>
        <v>30.025000000000002</v>
      </c>
      <c r="M116" s="550"/>
      <c r="N116" s="551">
        <f t="shared" si="5"/>
        <v>30.025000000000002</v>
      </c>
      <c r="O116" s="550"/>
      <c r="P116" s="552"/>
      <c r="Q116" s="552"/>
      <c r="R116" s="16"/>
      <c r="S116" s="16"/>
      <c r="X116" s="16"/>
    </row>
    <row r="117" spans="1:24" ht="15.75" customHeight="1">
      <c r="A117" s="751" t="s">
        <v>580</v>
      </c>
      <c r="B117" s="752"/>
      <c r="C117" s="752"/>
      <c r="D117" s="752"/>
      <c r="E117" s="752"/>
      <c r="F117" s="752"/>
      <c r="G117" s="753"/>
      <c r="H117" s="550" t="s">
        <v>577</v>
      </c>
      <c r="I117" s="550"/>
      <c r="J117" s="550">
        <v>1</v>
      </c>
      <c r="K117" s="550"/>
      <c r="L117" s="551">
        <f>'BANCO DE DADOS'!$K$15</f>
        <v>37</v>
      </c>
      <c r="M117" s="550"/>
      <c r="N117" s="551">
        <f t="shared" si="5"/>
        <v>37</v>
      </c>
      <c r="O117" s="550"/>
      <c r="P117" s="552"/>
      <c r="Q117" s="552"/>
      <c r="R117" s="16"/>
      <c r="S117" s="16"/>
      <c r="X117" s="16"/>
    </row>
    <row r="118" spans="1:24" ht="15.75" customHeight="1">
      <c r="A118" s="751" t="s">
        <v>244</v>
      </c>
      <c r="B118" s="752"/>
      <c r="C118" s="752"/>
      <c r="D118" s="752"/>
      <c r="E118" s="752"/>
      <c r="F118" s="752"/>
      <c r="G118" s="753"/>
      <c r="H118" s="550" t="s">
        <v>577</v>
      </c>
      <c r="I118" s="550"/>
      <c r="J118" s="550">
        <v>1</v>
      </c>
      <c r="K118" s="550"/>
      <c r="L118" s="551">
        <f>'BANCO DE DADOS'!$K$16</f>
        <v>12.91</v>
      </c>
      <c r="M118" s="550"/>
      <c r="N118" s="551">
        <f t="shared" si="5"/>
        <v>12.91</v>
      </c>
      <c r="O118" s="550"/>
      <c r="P118" s="552"/>
      <c r="Q118" s="552"/>
      <c r="R118" s="16"/>
      <c r="S118" s="16"/>
      <c r="X118" s="16"/>
    </row>
    <row r="119" spans="1:24" ht="15.75" customHeight="1">
      <c r="A119" s="751" t="s">
        <v>581</v>
      </c>
      <c r="B119" s="752"/>
      <c r="C119" s="752"/>
      <c r="D119" s="752"/>
      <c r="E119" s="752"/>
      <c r="F119" s="752"/>
      <c r="G119" s="753"/>
      <c r="H119" s="550" t="s">
        <v>577</v>
      </c>
      <c r="I119" s="550"/>
      <c r="J119" s="550">
        <v>1</v>
      </c>
      <c r="K119" s="550"/>
      <c r="L119" s="551">
        <f>'BANCO DE DADOS'!$K$17</f>
        <v>32</v>
      </c>
      <c r="M119" s="550"/>
      <c r="N119" s="551">
        <f t="shared" si="5"/>
        <v>32</v>
      </c>
      <c r="O119" s="550"/>
      <c r="P119" s="552"/>
      <c r="Q119" s="552"/>
      <c r="R119" s="16"/>
      <c r="S119" s="16"/>
      <c r="X119" s="16"/>
    </row>
    <row r="120" spans="1:24" ht="15.75" customHeight="1">
      <c r="A120" s="751" t="s">
        <v>582</v>
      </c>
      <c r="B120" s="752"/>
      <c r="C120" s="752"/>
      <c r="D120" s="752"/>
      <c r="E120" s="752"/>
      <c r="F120" s="752"/>
      <c r="G120" s="753"/>
      <c r="H120" s="550" t="s">
        <v>577</v>
      </c>
      <c r="I120" s="550"/>
      <c r="J120" s="550">
        <v>1</v>
      </c>
      <c r="K120" s="550"/>
      <c r="L120" s="551">
        <f>$K$153</f>
        <v>43.91</v>
      </c>
      <c r="M120" s="550"/>
      <c r="N120" s="551">
        <f t="shared" si="5"/>
        <v>43.91</v>
      </c>
      <c r="O120" s="550"/>
      <c r="P120" s="552"/>
      <c r="Q120" s="552"/>
      <c r="R120" s="16"/>
      <c r="S120" s="16"/>
      <c r="X120" s="16"/>
    </row>
    <row r="121" spans="1:24" ht="15.75" customHeight="1">
      <c r="A121" s="561" t="s">
        <v>583</v>
      </c>
      <c r="B121" s="562"/>
      <c r="C121" s="562"/>
      <c r="D121" s="562"/>
      <c r="E121" s="562"/>
      <c r="F121" s="562"/>
      <c r="G121" s="562"/>
      <c r="H121" s="562"/>
      <c r="I121" s="562"/>
      <c r="J121" s="562"/>
      <c r="K121" s="562"/>
      <c r="L121" s="562"/>
      <c r="M121" s="563"/>
      <c r="N121" s="560">
        <f>SUM(N111:O120)</f>
        <v>4449.1617999999999</v>
      </c>
      <c r="O121" s="555"/>
      <c r="P121" s="565"/>
      <c r="Q121" s="565"/>
      <c r="R121" s="16"/>
      <c r="S121" s="16"/>
      <c r="X121" s="16"/>
    </row>
    <row r="122" spans="1:24" ht="15.75" customHeight="1">
      <c r="A122" s="751" t="s">
        <v>584</v>
      </c>
      <c r="B122" s="752"/>
      <c r="C122" s="752"/>
      <c r="D122" s="752"/>
      <c r="E122" s="752"/>
      <c r="F122" s="752"/>
      <c r="G122" s="753"/>
      <c r="H122" s="550" t="s">
        <v>585</v>
      </c>
      <c r="I122" s="550"/>
      <c r="J122" s="550">
        <v>1</v>
      </c>
      <c r="K122" s="550"/>
      <c r="L122" s="551">
        <f>N121</f>
        <v>4449.1617999999999</v>
      </c>
      <c r="M122" s="550"/>
      <c r="N122" s="551">
        <f>L122*J122</f>
        <v>4449.1617999999999</v>
      </c>
      <c r="O122" s="550"/>
      <c r="P122" s="552"/>
      <c r="Q122" s="552"/>
      <c r="R122" s="16"/>
      <c r="S122" s="16"/>
      <c r="X122" s="16"/>
    </row>
    <row r="123" spans="1:24" ht="15.75" customHeight="1">
      <c r="A123" s="855" t="s">
        <v>587</v>
      </c>
      <c r="B123" s="856"/>
      <c r="C123" s="856"/>
      <c r="D123" s="856"/>
      <c r="E123" s="856"/>
      <c r="F123" s="856"/>
      <c r="G123" s="856"/>
      <c r="H123" s="856"/>
      <c r="I123" s="856"/>
      <c r="J123" s="856"/>
      <c r="K123" s="856"/>
      <c r="L123" s="856"/>
      <c r="M123" s="857"/>
      <c r="N123" s="559">
        <v>1</v>
      </c>
      <c r="O123" s="559"/>
      <c r="P123" s="560">
        <f>N122*N123</f>
        <v>4449.1617999999999</v>
      </c>
      <c r="Q123" s="555"/>
      <c r="R123" s="16"/>
      <c r="S123" s="16"/>
      <c r="X123" s="16"/>
    </row>
    <row r="124" spans="1:24" ht="15.6">
      <c r="A124" s="400"/>
      <c r="B124" s="390"/>
      <c r="C124" s="31"/>
      <c r="D124" s="31"/>
      <c r="E124" s="31"/>
      <c r="F124" s="31"/>
      <c r="G124" s="39"/>
      <c r="H124" s="19"/>
      <c r="I124" s="42"/>
      <c r="J124" s="19"/>
      <c r="K124" s="19"/>
      <c r="L124" s="19"/>
      <c r="M124" s="19"/>
      <c r="N124" s="19"/>
      <c r="O124" s="19"/>
      <c r="P124" s="19"/>
      <c r="Q124" s="19"/>
      <c r="R124" s="18"/>
      <c r="S124" s="16"/>
      <c r="X124" s="16"/>
    </row>
    <row r="125" spans="1:24" s="137" customFormat="1" ht="24.75" customHeight="1">
      <c r="A125" s="858" t="str">
        <f>'1 Coleta Domiciliar'!A189</f>
        <v>DADOS:</v>
      </c>
      <c r="B125" s="858"/>
      <c r="C125" s="858"/>
      <c r="D125" s="858"/>
      <c r="E125" s="858"/>
      <c r="F125" s="858"/>
      <c r="G125" s="858"/>
      <c r="I125" s="843" t="s">
        <v>303</v>
      </c>
      <c r="J125" s="844"/>
      <c r="K125" s="844"/>
      <c r="L125" s="844"/>
      <c r="M125" s="844"/>
      <c r="N125" s="845"/>
      <c r="O125" s="866" t="s">
        <v>467</v>
      </c>
      <c r="P125" s="866"/>
      <c r="Q125" s="866"/>
    </row>
    <row r="126" spans="1:24" s="137" customFormat="1" ht="15.6">
      <c r="A126" s="858" t="s">
        <v>291</v>
      </c>
      <c r="B126" s="858"/>
      <c r="C126" s="858"/>
      <c r="D126" s="859">
        <v>3800</v>
      </c>
      <c r="E126" s="859"/>
      <c r="F126" s="859"/>
      <c r="G126" s="859"/>
      <c r="I126" s="165" t="s">
        <v>304</v>
      </c>
      <c r="J126" s="166"/>
      <c r="K126" s="166"/>
      <c r="L126" s="167"/>
      <c r="M126" s="825">
        <v>7.2</v>
      </c>
      <c r="N126" s="826"/>
      <c r="O126" s="866"/>
      <c r="P126" s="866"/>
      <c r="Q126" s="866"/>
    </row>
    <row r="127" spans="1:24" s="137" customFormat="1" ht="11.25" customHeight="1">
      <c r="A127" s="858" t="s">
        <v>142</v>
      </c>
      <c r="B127" s="858"/>
      <c r="C127" s="858"/>
      <c r="D127" s="861" t="s">
        <v>302</v>
      </c>
      <c r="E127" s="861"/>
      <c r="F127" s="861"/>
      <c r="G127" s="861"/>
      <c r="I127" s="165" t="s">
        <v>305</v>
      </c>
      <c r="J127" s="166"/>
      <c r="K127" s="166"/>
      <c r="L127" s="167"/>
      <c r="M127" s="825">
        <f>D126*1000</f>
        <v>3800000</v>
      </c>
      <c r="N127" s="826"/>
      <c r="O127" s="866"/>
      <c r="P127" s="866"/>
      <c r="Q127" s="866"/>
    </row>
    <row r="128" spans="1:24" s="137" customFormat="1" ht="15.75" customHeight="1">
      <c r="A128" s="858"/>
      <c r="B128" s="858"/>
      <c r="C128" s="858"/>
      <c r="D128" s="864">
        <f>P27</f>
        <v>40</v>
      </c>
      <c r="E128" s="864"/>
      <c r="F128" s="864"/>
      <c r="G128" s="864"/>
      <c r="I128" s="165" t="s">
        <v>306</v>
      </c>
      <c r="J128" s="166"/>
      <c r="K128" s="166"/>
      <c r="L128" s="167"/>
      <c r="M128" s="825">
        <v>26</v>
      </c>
      <c r="N128" s="826"/>
      <c r="O128" s="866"/>
      <c r="P128" s="866"/>
      <c r="Q128" s="866"/>
    </row>
    <row r="129" spans="1:24" ht="15" customHeight="1">
      <c r="A129" s="858"/>
      <c r="B129" s="858"/>
      <c r="C129" s="858"/>
      <c r="D129" s="865">
        <f>P28</f>
        <v>20</v>
      </c>
      <c r="E129" s="865"/>
      <c r="F129" s="865"/>
      <c r="G129" s="865"/>
      <c r="I129" s="165" t="s">
        <v>307</v>
      </c>
      <c r="J129" s="166"/>
      <c r="K129" s="166"/>
      <c r="L129" s="167"/>
      <c r="M129" s="825">
        <v>370</v>
      </c>
      <c r="N129" s="826"/>
      <c r="O129" s="866"/>
      <c r="P129" s="866"/>
      <c r="Q129" s="866"/>
      <c r="R129" s="16"/>
      <c r="S129" s="16"/>
      <c r="X129" s="16"/>
    </row>
    <row r="130" spans="1:24" ht="14.25" customHeight="1">
      <c r="A130" s="858" t="s">
        <v>629</v>
      </c>
      <c r="B130" s="858"/>
      <c r="C130" s="858"/>
      <c r="D130" s="860">
        <f>(M130+M131)/2</f>
        <v>29.931277431277433</v>
      </c>
      <c r="E130" s="860"/>
      <c r="F130" s="860"/>
      <c r="G130" s="860"/>
      <c r="I130" s="165" t="s">
        <v>308</v>
      </c>
      <c r="J130" s="166"/>
      <c r="K130" s="166"/>
      <c r="L130" s="167"/>
      <c r="M130" s="827">
        <f>M127/(M126*M128*M129)</f>
        <v>54.862554862554866</v>
      </c>
      <c r="N130" s="828"/>
      <c r="O130" s="866"/>
      <c r="P130" s="866"/>
      <c r="Q130" s="866"/>
      <c r="R130" s="16"/>
      <c r="S130" s="16"/>
      <c r="X130" s="16"/>
    </row>
    <row r="131" spans="1:24" ht="15.75" customHeight="1">
      <c r="A131" s="858"/>
      <c r="B131" s="858"/>
      <c r="C131" s="858"/>
      <c r="D131" s="861" t="s">
        <v>292</v>
      </c>
      <c r="E131" s="861"/>
      <c r="F131" s="861"/>
      <c r="G131" s="861"/>
      <c r="I131" s="165" t="s">
        <v>309</v>
      </c>
      <c r="J131" s="166"/>
      <c r="K131" s="166"/>
      <c r="L131" s="167"/>
      <c r="M131" s="827">
        <f>ROUND(M130*0.1,0)</f>
        <v>5</v>
      </c>
      <c r="N131" s="828"/>
      <c r="O131" s="866"/>
      <c r="P131" s="866"/>
      <c r="Q131" s="866"/>
      <c r="R131" s="16"/>
      <c r="S131" s="16"/>
      <c r="X131" s="16"/>
    </row>
    <row r="132" spans="1:24" ht="15.75" customHeight="1">
      <c r="A132" s="858"/>
      <c r="B132" s="858"/>
      <c r="C132" s="858"/>
      <c r="D132" s="861" t="s">
        <v>293</v>
      </c>
      <c r="E132" s="861"/>
      <c r="F132" s="861"/>
      <c r="G132" s="861"/>
      <c r="I132" s="168"/>
      <c r="J132" s="169"/>
      <c r="K132" s="169"/>
      <c r="L132" s="170"/>
      <c r="M132" s="829"/>
      <c r="N132" s="830"/>
      <c r="O132" s="136"/>
      <c r="P132" s="136"/>
      <c r="Q132" s="136"/>
      <c r="R132" s="16"/>
      <c r="S132" s="16"/>
      <c r="X132" s="16"/>
    </row>
    <row r="133" spans="1:24" ht="15.75" customHeight="1">
      <c r="A133" s="23"/>
      <c r="B133" s="174"/>
      <c r="C133" s="174"/>
      <c r="D133" s="174"/>
      <c r="E133" s="136"/>
      <c r="F133" s="136"/>
      <c r="G133" s="175"/>
      <c r="H133" s="175"/>
      <c r="I133" s="175"/>
      <c r="J133" s="81"/>
      <c r="K133" s="176"/>
      <c r="L133" s="176"/>
      <c r="M133" s="136"/>
      <c r="N133" s="136"/>
      <c r="O133" s="136"/>
      <c r="P133" s="136"/>
      <c r="Q133" s="136"/>
      <c r="R133" s="16"/>
      <c r="S133" s="16"/>
      <c r="X133" s="16"/>
    </row>
    <row r="134" spans="1:24" s="142" customFormat="1" ht="15.6">
      <c r="A134" s="583" t="s">
        <v>628</v>
      </c>
      <c r="B134" s="584"/>
      <c r="C134" s="584"/>
      <c r="D134" s="584"/>
      <c r="E134" s="584"/>
      <c r="F134" s="584"/>
      <c r="G134" s="584"/>
      <c r="H134" s="584"/>
      <c r="I134" s="585"/>
      <c r="J134" s="163"/>
      <c r="Q134" s="139"/>
    </row>
    <row r="135" spans="1:24" s="142" customFormat="1" ht="15.6">
      <c r="A135" s="586" t="s">
        <v>630</v>
      </c>
      <c r="B135" s="586"/>
      <c r="C135" s="586"/>
      <c r="D135" s="586"/>
      <c r="E135" s="586"/>
      <c r="F135" s="586"/>
      <c r="G135" s="586" t="s">
        <v>631</v>
      </c>
      <c r="H135" s="586"/>
      <c r="I135" s="418" t="s">
        <v>35</v>
      </c>
      <c r="J135" s="163"/>
      <c r="Q135" s="139"/>
    </row>
    <row r="136" spans="1:24" s="142" customFormat="1" ht="15.6">
      <c r="A136" s="578" t="s">
        <v>313</v>
      </c>
      <c r="B136" s="579"/>
      <c r="C136" s="579"/>
      <c r="D136" s="579"/>
      <c r="E136" s="579"/>
      <c r="F136" s="580"/>
      <c r="G136" s="581">
        <f>'BANCO DE DADOS'!E4</f>
        <v>1045</v>
      </c>
      <c r="H136" s="582"/>
      <c r="I136" s="417"/>
      <c r="J136" s="162"/>
      <c r="Q136" s="139"/>
    </row>
    <row r="137" spans="1:24" s="142" customFormat="1" ht="15.6">
      <c r="A137" s="578" t="s">
        <v>1</v>
      </c>
      <c r="B137" s="579"/>
      <c r="C137" s="579"/>
      <c r="D137" s="579"/>
      <c r="E137" s="579"/>
      <c r="F137" s="580"/>
      <c r="G137" s="620">
        <f>Encargos!C40</f>
        <v>0.85355440000000016</v>
      </c>
      <c r="H137" s="621"/>
      <c r="I137" s="417"/>
      <c r="J137" s="162"/>
      <c r="Q137" s="139"/>
    </row>
    <row r="138" spans="1:24" s="142" customFormat="1" ht="15.6">
      <c r="A138" s="578" t="s">
        <v>5</v>
      </c>
      <c r="B138" s="579"/>
      <c r="C138" s="579"/>
      <c r="D138" s="579"/>
      <c r="E138" s="579"/>
      <c r="F138" s="580"/>
      <c r="G138" s="581">
        <f>'BANCO DE DADOS'!K13</f>
        <v>3.2</v>
      </c>
      <c r="H138" s="582"/>
      <c r="I138" s="419">
        <f>(G138*2)*26</f>
        <v>166.4</v>
      </c>
      <c r="J138" s="162"/>
      <c r="Q138" s="139"/>
    </row>
    <row r="139" spans="1:24" s="142" customFormat="1" ht="15.6">
      <c r="A139" s="578" t="s">
        <v>6</v>
      </c>
      <c r="B139" s="579"/>
      <c r="C139" s="579"/>
      <c r="D139" s="579"/>
      <c r="E139" s="579"/>
      <c r="F139" s="580"/>
      <c r="G139" s="581">
        <f>'BANCO DE DADOS'!K16</f>
        <v>12.91</v>
      </c>
      <c r="H139" s="582"/>
      <c r="I139" s="417"/>
      <c r="J139" s="162"/>
      <c r="Q139" s="139"/>
      <c r="R139" s="9"/>
    </row>
    <row r="140" spans="1:24" s="142" customFormat="1" ht="15.75" customHeight="1">
      <c r="A140" s="578" t="s">
        <v>296</v>
      </c>
      <c r="B140" s="579"/>
      <c r="C140" s="579"/>
      <c r="D140" s="579"/>
      <c r="E140" s="579"/>
      <c r="F140" s="580"/>
      <c r="G140" s="581">
        <f>'BANCO DE DADOS'!K10</f>
        <v>180.15</v>
      </c>
      <c r="H140" s="582"/>
      <c r="I140" s="417"/>
      <c r="J140" s="162"/>
      <c r="Q140" s="139"/>
      <c r="R140" s="10"/>
    </row>
    <row r="141" spans="1:24" s="142" customFormat="1" ht="15.6">
      <c r="A141" s="578" t="s">
        <v>297</v>
      </c>
      <c r="B141" s="579"/>
      <c r="C141" s="579"/>
      <c r="D141" s="579"/>
      <c r="E141" s="579"/>
      <c r="F141" s="580"/>
      <c r="G141" s="581">
        <f>'BANCO DE DADOS'!M10</f>
        <v>171.52</v>
      </c>
      <c r="H141" s="582"/>
      <c r="I141" s="419"/>
      <c r="J141" s="162"/>
      <c r="Q141" s="139"/>
      <c r="R141" s="11"/>
    </row>
    <row r="142" spans="1:24" s="142" customFormat="1" ht="15.6">
      <c r="A142" s="578" t="s">
        <v>288</v>
      </c>
      <c r="B142" s="579"/>
      <c r="C142" s="579"/>
      <c r="D142" s="579"/>
      <c r="E142" s="579"/>
      <c r="F142" s="580"/>
      <c r="G142" s="581">
        <f>'BANCO DE DADOS'!K14</f>
        <v>15.37</v>
      </c>
      <c r="H142" s="582"/>
      <c r="I142" s="419">
        <f>G142*26</f>
        <v>399.62</v>
      </c>
      <c r="J142" s="162"/>
      <c r="Q142" s="139"/>
      <c r="R142" s="9"/>
    </row>
    <row r="143" spans="1:24" s="142" customFormat="1" ht="12.75" customHeight="1">
      <c r="A143" s="144"/>
      <c r="B143" s="145"/>
      <c r="C143" s="143"/>
      <c r="D143" s="139"/>
      <c r="E143" s="140"/>
      <c r="F143" s="139"/>
      <c r="G143" s="139"/>
      <c r="H143" s="139"/>
      <c r="I143" s="139"/>
      <c r="J143" s="139"/>
      <c r="N143" s="139"/>
      <c r="O143" s="139"/>
      <c r="P143" s="141"/>
      <c r="Q143" s="139"/>
      <c r="R143" s="12"/>
    </row>
    <row r="144" spans="1:24" s="142" customFormat="1" ht="15.6">
      <c r="A144" s="787" t="s">
        <v>55</v>
      </c>
      <c r="B144" s="787"/>
      <c r="C144" s="787"/>
      <c r="D144" s="787"/>
      <c r="E144" s="787"/>
      <c r="F144" s="593" t="s">
        <v>52</v>
      </c>
      <c r="G144" s="593"/>
      <c r="H144" s="593" t="s">
        <v>11</v>
      </c>
      <c r="I144" s="593"/>
      <c r="J144" s="593" t="s">
        <v>54</v>
      </c>
      <c r="K144" s="593"/>
      <c r="O144" s="47"/>
      <c r="P144" s="49"/>
      <c r="Q144" s="47"/>
    </row>
    <row r="145" spans="1:26" s="142" customFormat="1" ht="32.25" customHeight="1">
      <c r="A145" s="594" t="s">
        <v>13</v>
      </c>
      <c r="B145" s="594"/>
      <c r="C145" s="594"/>
      <c r="D145" s="812" t="s">
        <v>16</v>
      </c>
      <c r="E145" s="813"/>
      <c r="F145" s="424" t="s">
        <v>632</v>
      </c>
      <c r="G145" s="335" t="s">
        <v>32</v>
      </c>
      <c r="H145" s="334" t="s">
        <v>33</v>
      </c>
      <c r="I145" s="335" t="s">
        <v>32</v>
      </c>
      <c r="J145" s="335" t="s">
        <v>33</v>
      </c>
      <c r="K145" s="335" t="s">
        <v>32</v>
      </c>
      <c r="O145" s="62"/>
      <c r="P145" s="798"/>
      <c r="Q145" s="798"/>
      <c r="R145" s="146"/>
      <c r="S145" s="146"/>
      <c r="X145" s="146"/>
    </row>
    <row r="146" spans="1:26" s="142" customFormat="1" ht="15.6">
      <c r="A146" s="842" t="s">
        <v>30</v>
      </c>
      <c r="B146" s="842"/>
      <c r="C146" s="842"/>
      <c r="D146" s="814">
        <f>'BANCO DE DADOS'!E22</f>
        <v>39.520000000000003</v>
      </c>
      <c r="E146" s="815"/>
      <c r="F146" s="337">
        <f>8/12</f>
        <v>0.66666666666666663</v>
      </c>
      <c r="G146" s="421">
        <f t="shared" ref="G146:G152" si="6">ROUND(D146*F146,2)</f>
        <v>26.35</v>
      </c>
      <c r="H146" s="337">
        <f>6/12</f>
        <v>0.5</v>
      </c>
      <c r="I146" s="338">
        <f t="shared" ref="I146:I152" si="7">ROUND(D146*H146,2)</f>
        <v>19.760000000000002</v>
      </c>
      <c r="J146" s="337">
        <f>'1 Coleta Domiciliar'!M178</f>
        <v>0.33333333333333331</v>
      </c>
      <c r="K146" s="338">
        <f t="shared" ref="K146:K152" si="8">ROUND(D146*J146,2)</f>
        <v>13.17</v>
      </c>
      <c r="O146" s="56"/>
      <c r="P146" s="56"/>
      <c r="Q146" s="56"/>
      <c r="R146" s="146"/>
      <c r="S146" s="146"/>
      <c r="X146" s="146"/>
    </row>
    <row r="147" spans="1:26" s="142" customFormat="1" ht="15.6">
      <c r="A147" s="842" t="s">
        <v>14</v>
      </c>
      <c r="B147" s="842"/>
      <c r="C147" s="842"/>
      <c r="D147" s="814">
        <f>'BANCO DE DADOS'!E23</f>
        <v>7.82</v>
      </c>
      <c r="E147" s="815"/>
      <c r="F147" s="337">
        <f>4/12</f>
        <v>0.33333333333333331</v>
      </c>
      <c r="G147" s="421">
        <f t="shared" si="6"/>
        <v>2.61</v>
      </c>
      <c r="H147" s="337">
        <f>3/12</f>
        <v>0.25</v>
      </c>
      <c r="I147" s="338">
        <f t="shared" si="7"/>
        <v>1.96</v>
      </c>
      <c r="J147" s="337">
        <f>'1 Coleta Domiciliar'!M179</f>
        <v>0.33333333333333331</v>
      </c>
      <c r="K147" s="338">
        <f t="shared" si="8"/>
        <v>2.61</v>
      </c>
      <c r="O147" s="56"/>
      <c r="P147" s="56"/>
      <c r="Q147" s="56"/>
      <c r="R147" s="146"/>
      <c r="S147" s="146"/>
      <c r="X147" s="146"/>
    </row>
    <row r="148" spans="1:26" s="142" customFormat="1" ht="15.6">
      <c r="A148" s="842" t="s">
        <v>31</v>
      </c>
      <c r="B148" s="842"/>
      <c r="C148" s="842"/>
      <c r="D148" s="814">
        <f>'BANCO DE DADOS'!E24</f>
        <v>22</v>
      </c>
      <c r="E148" s="815"/>
      <c r="F148" s="337">
        <f>8/12</f>
        <v>0.66666666666666663</v>
      </c>
      <c r="G148" s="421">
        <f t="shared" si="6"/>
        <v>14.67</v>
      </c>
      <c r="H148" s="337">
        <f>3/12</f>
        <v>0.25</v>
      </c>
      <c r="I148" s="338">
        <f t="shared" si="7"/>
        <v>5.5</v>
      </c>
      <c r="J148" s="337">
        <f>'1 Coleta Domiciliar'!M180</f>
        <v>0.33333333333333331</v>
      </c>
      <c r="K148" s="338">
        <f t="shared" si="8"/>
        <v>7.33</v>
      </c>
      <c r="O148" s="56"/>
      <c r="P148" s="56"/>
      <c r="Q148" s="56"/>
      <c r="R148" s="146"/>
      <c r="S148" s="146"/>
      <c r="X148" s="146"/>
    </row>
    <row r="149" spans="1:26" s="142" customFormat="1" ht="15.6">
      <c r="A149" s="842" t="s">
        <v>396</v>
      </c>
      <c r="B149" s="842"/>
      <c r="C149" s="842"/>
      <c r="D149" s="814">
        <f>'BANCO DE DADOS'!E27</f>
        <v>7.52</v>
      </c>
      <c r="E149" s="815"/>
      <c r="F149" s="337">
        <f>12/12</f>
        <v>1</v>
      </c>
      <c r="G149" s="421">
        <f t="shared" si="6"/>
        <v>7.52</v>
      </c>
      <c r="H149" s="337">
        <f>4/12</f>
        <v>0.33333333333333331</v>
      </c>
      <c r="I149" s="338">
        <f t="shared" si="7"/>
        <v>2.5099999999999998</v>
      </c>
      <c r="J149" s="337">
        <f>'1 Coleta Domiciliar'!M181</f>
        <v>0</v>
      </c>
      <c r="K149" s="338">
        <f t="shared" si="8"/>
        <v>0</v>
      </c>
      <c r="O149" s="56"/>
      <c r="P149" s="56"/>
      <c r="Q149" s="56"/>
      <c r="R149" s="146"/>
      <c r="S149" s="146"/>
      <c r="X149" s="146"/>
    </row>
    <row r="150" spans="1:26" s="142" customFormat="1" ht="15.6">
      <c r="A150" s="842" t="s">
        <v>2</v>
      </c>
      <c r="B150" s="842"/>
      <c r="C150" s="842"/>
      <c r="D150" s="814">
        <f>'BANCO DE DADOS'!E25</f>
        <v>42.3</v>
      </c>
      <c r="E150" s="815"/>
      <c r="F150" s="337">
        <f>6/12</f>
        <v>0.5</v>
      </c>
      <c r="G150" s="421">
        <f t="shared" si="6"/>
        <v>21.15</v>
      </c>
      <c r="H150" s="337">
        <f>2/12</f>
        <v>0.16666666666666666</v>
      </c>
      <c r="I150" s="338">
        <f t="shared" si="7"/>
        <v>7.05</v>
      </c>
      <c r="J150" s="337">
        <f>'1 Coleta Domiciliar'!M182</f>
        <v>0.25</v>
      </c>
      <c r="K150" s="338">
        <f t="shared" si="8"/>
        <v>10.58</v>
      </c>
      <c r="O150" s="56"/>
      <c r="P150" s="56"/>
      <c r="Q150" s="56"/>
      <c r="R150" s="146"/>
      <c r="S150" s="146"/>
      <c r="X150" s="146"/>
    </row>
    <row r="151" spans="1:26" s="142" customFormat="1" ht="15.6">
      <c r="A151" s="842" t="str">
        <f>'1 Coleta Domiciliar'!A183</f>
        <v>Protetor solar FPS 30 UVA/UVB</v>
      </c>
      <c r="B151" s="842"/>
      <c r="C151" s="842"/>
      <c r="D151" s="814">
        <f>'BANCO DE DADOS'!E30</f>
        <v>16.850000000000001</v>
      </c>
      <c r="E151" s="815"/>
      <c r="F151" s="337">
        <f>8/12</f>
        <v>0.66666666666666663</v>
      </c>
      <c r="G151" s="421">
        <f t="shared" si="6"/>
        <v>11.23</v>
      </c>
      <c r="H151" s="337">
        <f>6/12</f>
        <v>0.5</v>
      </c>
      <c r="I151" s="338">
        <f t="shared" si="7"/>
        <v>8.43</v>
      </c>
      <c r="J151" s="337">
        <f>'1 Coleta Domiciliar'!M183</f>
        <v>0.5</v>
      </c>
      <c r="K151" s="338">
        <f t="shared" si="8"/>
        <v>8.43</v>
      </c>
      <c r="O151" s="56"/>
      <c r="P151" s="56"/>
      <c r="Q151" s="56"/>
      <c r="R151" s="146"/>
      <c r="S151" s="146"/>
      <c r="X151" s="146"/>
    </row>
    <row r="152" spans="1:26" s="142" customFormat="1" ht="15" customHeight="1">
      <c r="A152" s="842" t="str">
        <f>'1 Coleta Domiciliar'!A184</f>
        <v>Capa de Chuva em PVC</v>
      </c>
      <c r="B152" s="842"/>
      <c r="C152" s="842"/>
      <c r="D152" s="814">
        <f>'BANCO DE DADOS'!E26</f>
        <v>21.5</v>
      </c>
      <c r="E152" s="815"/>
      <c r="F152" s="337">
        <f>3/12</f>
        <v>0.25</v>
      </c>
      <c r="G152" s="421">
        <f t="shared" si="6"/>
        <v>5.38</v>
      </c>
      <c r="H152" s="337">
        <f>1/12</f>
        <v>8.3333333333333329E-2</v>
      </c>
      <c r="I152" s="338">
        <f t="shared" si="7"/>
        <v>1.79</v>
      </c>
      <c r="J152" s="337">
        <f>'1 Coleta Domiciliar'!M184</f>
        <v>8.3333333333333329E-2</v>
      </c>
      <c r="K152" s="338">
        <f t="shared" si="8"/>
        <v>1.79</v>
      </c>
      <c r="O152" s="56"/>
      <c r="P152" s="56"/>
      <c r="Q152" s="56"/>
      <c r="R152" s="146"/>
      <c r="S152" s="146"/>
      <c r="X152" s="146"/>
    </row>
    <row r="153" spans="1:26" s="142" customFormat="1" ht="15.6">
      <c r="A153" s="598" t="s">
        <v>34</v>
      </c>
      <c r="B153" s="598"/>
      <c r="C153" s="598"/>
      <c r="D153" s="598"/>
      <c r="E153" s="598"/>
      <c r="F153" s="598"/>
      <c r="G153" s="420">
        <f>SUM(G146:I152)</f>
        <v>137.99333333333331</v>
      </c>
      <c r="H153" s="422" t="s">
        <v>35</v>
      </c>
      <c r="I153" s="339">
        <f>SUM(I146:I152)</f>
        <v>47</v>
      </c>
      <c r="J153" s="422" t="s">
        <v>35</v>
      </c>
      <c r="K153" s="423">
        <f>SUM(K146:K152)</f>
        <v>43.91</v>
      </c>
      <c r="O153" s="56"/>
      <c r="P153" s="56"/>
      <c r="Q153" s="56"/>
      <c r="R153" s="146"/>
      <c r="S153" s="146"/>
      <c r="X153" s="146"/>
    </row>
    <row r="154" spans="1:26" s="142" customFormat="1" ht="15.6">
      <c r="A154" s="152"/>
      <c r="B154" s="150"/>
      <c r="C154" s="148"/>
      <c r="D154" s="147"/>
      <c r="E154" s="148"/>
      <c r="F154" s="147"/>
      <c r="G154" s="147"/>
      <c r="H154" s="147"/>
      <c r="I154" s="147"/>
      <c r="J154" s="147"/>
      <c r="K154" s="147"/>
      <c r="L154" s="147"/>
      <c r="M154" s="147"/>
      <c r="N154" s="147"/>
      <c r="O154" s="147"/>
      <c r="P154" s="151"/>
      <c r="Q154" s="147"/>
      <c r="R154" s="146"/>
      <c r="S154" s="146"/>
      <c r="X154" s="146"/>
    </row>
    <row r="155" spans="1:26" s="51" customFormat="1" ht="24.75" customHeight="1">
      <c r="A155" s="738" t="s">
        <v>160</v>
      </c>
      <c r="B155" s="739"/>
      <c r="C155" s="739"/>
      <c r="D155" s="739"/>
      <c r="E155" s="739"/>
      <c r="F155" s="739"/>
      <c r="G155" s="739"/>
      <c r="H155" s="739"/>
      <c r="I155" s="739"/>
      <c r="J155" s="739"/>
      <c r="K155" s="739"/>
      <c r="L155" s="739"/>
      <c r="M155" s="739"/>
      <c r="N155" s="739"/>
      <c r="O155" s="739"/>
      <c r="P155" s="739"/>
      <c r="Q155" s="739"/>
      <c r="R155" s="72"/>
      <c r="T155" s="64"/>
      <c r="U155" s="64"/>
      <c r="Z155" s="64"/>
    </row>
    <row r="156" spans="1:26" s="149" customFormat="1" ht="15.6">
      <c r="A156" s="12"/>
      <c r="B156" s="150"/>
      <c r="C156" s="148"/>
      <c r="D156" s="147"/>
      <c r="E156" s="148"/>
      <c r="F156" s="147"/>
      <c r="G156" s="147"/>
      <c r="H156" s="147"/>
      <c r="I156" s="147"/>
      <c r="J156" s="147"/>
      <c r="K156" s="147"/>
      <c r="L156" s="130"/>
      <c r="M156" s="130"/>
      <c r="N156" s="130"/>
      <c r="O156" s="130"/>
      <c r="P156" s="154"/>
      <c r="Q156" s="130"/>
      <c r="R156" s="146"/>
      <c r="S156" s="146"/>
      <c r="T156" s="142"/>
      <c r="U156" s="142"/>
      <c r="V156" s="142"/>
      <c r="W156" s="142"/>
      <c r="X156" s="146"/>
      <c r="Y156" s="142"/>
      <c r="Z156" s="142"/>
    </row>
    <row r="157" spans="1:26" s="149" customFormat="1" ht="15.6">
      <c r="A157" s="646" t="s">
        <v>58</v>
      </c>
      <c r="B157" s="646"/>
      <c r="C157" s="646"/>
      <c r="D157" s="646"/>
      <c r="E157" s="646"/>
      <c r="F157" s="646"/>
      <c r="G157" s="646"/>
      <c r="H157" s="646"/>
      <c r="I157" s="646"/>
      <c r="J157" s="646"/>
      <c r="K157" s="646"/>
      <c r="L157" s="130"/>
      <c r="M157" s="130"/>
      <c r="N157" s="130"/>
      <c r="O157" s="130"/>
      <c r="P157" s="154"/>
      <c r="Q157" s="130"/>
      <c r="R157" s="146"/>
      <c r="S157" s="146"/>
      <c r="T157" s="142"/>
      <c r="U157" s="142"/>
      <c r="V157" s="142"/>
      <c r="W157" s="142"/>
      <c r="X157" s="146"/>
      <c r="Y157" s="142"/>
      <c r="Z157" s="142"/>
    </row>
    <row r="158" spans="1:26" s="149" customFormat="1" ht="15.6">
      <c r="A158" s="720" t="s">
        <v>41</v>
      </c>
      <c r="B158" s="720"/>
      <c r="C158" s="720"/>
      <c r="D158" s="720"/>
      <c r="E158" s="720" t="s">
        <v>298</v>
      </c>
      <c r="F158" s="720"/>
      <c r="G158" s="720" t="s">
        <v>211</v>
      </c>
      <c r="H158" s="720"/>
      <c r="I158" s="720" t="s">
        <v>299</v>
      </c>
      <c r="J158" s="720"/>
      <c r="K158" s="720"/>
      <c r="L158" s="130"/>
      <c r="M158" s="130"/>
      <c r="N158" s="130"/>
      <c r="O158" s="130"/>
      <c r="P158" s="154"/>
      <c r="Q158" s="130"/>
      <c r="R158" s="146"/>
      <c r="S158" s="146"/>
      <c r="T158" s="142"/>
      <c r="U158" s="142"/>
      <c r="V158" s="142"/>
      <c r="W158" s="142"/>
      <c r="X158" s="146"/>
      <c r="Y158" s="142"/>
      <c r="Z158" s="142"/>
    </row>
    <row r="159" spans="1:26" s="149" customFormat="1" ht="15.6">
      <c r="A159" s="879" t="s">
        <v>59</v>
      </c>
      <c r="B159" s="879"/>
      <c r="C159" s="879"/>
      <c r="D159" s="879"/>
      <c r="E159" s="878">
        <v>2</v>
      </c>
      <c r="F159" s="878"/>
      <c r="G159" s="824">
        <v>7500</v>
      </c>
      <c r="H159" s="824"/>
      <c r="I159" s="824">
        <f>ROUND(E159*G159,2)</f>
        <v>15000</v>
      </c>
      <c r="J159" s="824"/>
      <c r="K159" s="824"/>
      <c r="L159" s="130"/>
      <c r="M159" s="130"/>
      <c r="N159" s="130"/>
      <c r="O159" s="130"/>
      <c r="P159" s="154"/>
      <c r="Q159" s="130"/>
      <c r="R159" s="146"/>
      <c r="S159" s="146"/>
      <c r="T159" s="142"/>
      <c r="U159" s="142"/>
      <c r="V159" s="142"/>
      <c r="W159" s="142"/>
      <c r="X159" s="146"/>
      <c r="Y159" s="142"/>
      <c r="Z159" s="142"/>
    </row>
    <row r="160" spans="1:26" s="149" customFormat="1" ht="18">
      <c r="A160" s="683" t="s">
        <v>60</v>
      </c>
      <c r="B160" s="683"/>
      <c r="C160" s="683"/>
      <c r="D160" s="683"/>
      <c r="E160" s="683"/>
      <c r="F160" s="683"/>
      <c r="G160" s="683"/>
      <c r="H160" s="683"/>
      <c r="I160" s="574">
        <f>I159</f>
        <v>15000</v>
      </c>
      <c r="J160" s="574"/>
      <c r="K160" s="574"/>
      <c r="L160" s="130"/>
      <c r="M160" s="130"/>
      <c r="N160" s="130"/>
      <c r="O160" s="130"/>
      <c r="P160" s="154"/>
      <c r="Q160" s="130"/>
      <c r="R160" s="146"/>
      <c r="S160" s="146"/>
      <c r="T160" s="142"/>
      <c r="U160" s="142"/>
      <c r="V160" s="142"/>
      <c r="W160" s="142"/>
      <c r="X160" s="146"/>
      <c r="Y160" s="142"/>
      <c r="Z160" s="142"/>
    </row>
    <row r="161" spans="1:26" s="149" customFormat="1" ht="15.6">
      <c r="A161" s="130"/>
      <c r="B161" s="156"/>
      <c r="C161" s="153"/>
      <c r="D161" s="130"/>
      <c r="E161" s="156"/>
      <c r="F161" s="156"/>
      <c r="G161" s="155"/>
      <c r="H161" s="157"/>
      <c r="I161" s="157"/>
      <c r="J161" s="130"/>
      <c r="K161" s="130"/>
      <c r="L161" s="130"/>
      <c r="M161" s="130"/>
      <c r="N161" s="130"/>
      <c r="O161" s="130"/>
      <c r="P161" s="154"/>
      <c r="Q161" s="130"/>
      <c r="R161" s="146"/>
      <c r="S161" s="146"/>
      <c r="T161" s="142"/>
      <c r="U161" s="142"/>
      <c r="V161" s="142"/>
      <c r="W161" s="142"/>
      <c r="X161" s="146"/>
      <c r="Y161" s="142"/>
      <c r="Z161" s="142"/>
    </row>
    <row r="162" spans="1:26" s="149" customFormat="1" ht="15.6">
      <c r="A162" s="646" t="s">
        <v>61</v>
      </c>
      <c r="B162" s="646"/>
      <c r="C162" s="646"/>
      <c r="D162" s="646"/>
      <c r="E162" s="646"/>
      <c r="F162" s="646"/>
      <c r="G162" s="646"/>
      <c r="H162" s="646"/>
      <c r="I162" s="646"/>
      <c r="J162" s="646"/>
      <c r="K162" s="646"/>
      <c r="L162" s="130"/>
      <c r="M162" s="130"/>
      <c r="N162" s="130"/>
      <c r="O162" s="130"/>
      <c r="P162" s="154"/>
      <c r="Q162" s="130"/>
      <c r="R162" s="146"/>
      <c r="S162" s="146"/>
      <c r="T162" s="142"/>
      <c r="U162" s="142"/>
      <c r="V162" s="142"/>
      <c r="W162" s="142"/>
      <c r="X162" s="146"/>
      <c r="Y162" s="142"/>
      <c r="Z162" s="142"/>
    </row>
    <row r="163" spans="1:26" s="149" customFormat="1" ht="15.6">
      <c r="A163" s="648" t="s">
        <v>41</v>
      </c>
      <c r="B163" s="648"/>
      <c r="C163" s="648"/>
      <c r="D163" s="648"/>
      <c r="E163" s="648"/>
      <c r="F163" s="648"/>
      <c r="G163" s="340" t="str">
        <f>E158</f>
        <v>QUAT.</v>
      </c>
      <c r="H163" s="648" t="str">
        <f>G158</f>
        <v>PREÇO</v>
      </c>
      <c r="I163" s="648"/>
      <c r="J163" s="876" t="str">
        <f>I158</f>
        <v>VALOR TOTAL</v>
      </c>
      <c r="K163" s="877"/>
      <c r="L163" s="130"/>
      <c r="M163" s="130"/>
      <c r="N163" s="130"/>
      <c r="O163" s="130"/>
      <c r="P163" s="154"/>
      <c r="Q163" s="130"/>
      <c r="R163" s="146"/>
      <c r="S163" s="146"/>
      <c r="T163" s="142"/>
      <c r="U163" s="142"/>
      <c r="V163" s="142"/>
      <c r="W163" s="142"/>
      <c r="X163" s="146"/>
      <c r="Y163" s="142"/>
      <c r="Z163" s="142"/>
    </row>
    <row r="164" spans="1:26" s="149" customFormat="1" ht="15.6">
      <c r="A164" s="658" t="s">
        <v>62</v>
      </c>
      <c r="B164" s="658"/>
      <c r="C164" s="658"/>
      <c r="D164" s="658"/>
      <c r="E164" s="658"/>
      <c r="F164" s="658"/>
      <c r="G164" s="342">
        <v>2</v>
      </c>
      <c r="H164" s="723">
        <v>450</v>
      </c>
      <c r="I164" s="723"/>
      <c r="J164" s="873">
        <f>ROUND(G164*H164,2)</f>
        <v>900</v>
      </c>
      <c r="K164" s="874"/>
      <c r="L164" s="130"/>
      <c r="M164" s="130"/>
      <c r="N164" s="130"/>
      <c r="O164" s="130"/>
      <c r="P164" s="154"/>
      <c r="Q164" s="130"/>
      <c r="R164" s="146"/>
      <c r="S164" s="146"/>
      <c r="T164" s="142"/>
      <c r="U164" s="142"/>
      <c r="V164" s="142"/>
      <c r="W164" s="142"/>
      <c r="X164" s="146"/>
      <c r="Y164" s="142"/>
      <c r="Z164" s="142"/>
    </row>
    <row r="165" spans="1:26" s="149" customFormat="1" ht="18">
      <c r="A165" s="683" t="s">
        <v>63</v>
      </c>
      <c r="B165" s="683"/>
      <c r="C165" s="683"/>
      <c r="D165" s="683"/>
      <c r="E165" s="683"/>
      <c r="F165" s="683"/>
      <c r="G165" s="683"/>
      <c r="H165" s="683"/>
      <c r="I165" s="574">
        <f>J164</f>
        <v>900</v>
      </c>
      <c r="J165" s="574">
        <f>J164</f>
        <v>900</v>
      </c>
      <c r="K165" s="574"/>
      <c r="L165" s="130"/>
      <c r="M165" s="130"/>
      <c r="N165" s="130"/>
      <c r="O165" s="130"/>
      <c r="P165" s="154"/>
      <c r="Q165" s="130"/>
      <c r="R165" s="146"/>
      <c r="S165" s="146"/>
      <c r="T165" s="142"/>
      <c r="U165" s="142"/>
      <c r="V165" s="142"/>
      <c r="W165" s="142"/>
      <c r="X165" s="146"/>
      <c r="Y165" s="142"/>
      <c r="Z165" s="142"/>
    </row>
    <row r="166" spans="1:26" s="149" customFormat="1" ht="15.6">
      <c r="A166" s="130"/>
      <c r="B166" s="156"/>
      <c r="C166" s="153"/>
      <c r="D166" s="130"/>
      <c r="E166" s="153"/>
      <c r="F166" s="130"/>
      <c r="G166" s="130"/>
      <c r="H166" s="130"/>
      <c r="I166" s="130"/>
      <c r="J166" s="130"/>
      <c r="K166" s="130"/>
      <c r="L166" s="130"/>
      <c r="M166" s="130"/>
      <c r="N166" s="130"/>
      <c r="O166" s="130"/>
      <c r="P166" s="154"/>
      <c r="Q166" s="130"/>
      <c r="R166" s="146"/>
      <c r="S166" s="146"/>
      <c r="T166" s="142"/>
      <c r="U166" s="142"/>
      <c r="V166" s="142"/>
      <c r="W166" s="142"/>
      <c r="X166" s="146"/>
      <c r="Y166" s="142"/>
      <c r="Z166" s="142"/>
    </row>
    <row r="167" spans="1:26" s="149" customFormat="1" ht="15.6">
      <c r="A167" s="646" t="s">
        <v>42</v>
      </c>
      <c r="B167" s="646"/>
      <c r="C167" s="646"/>
      <c r="D167" s="646"/>
      <c r="E167" s="646"/>
      <c r="F167" s="646"/>
      <c r="G167" s="646"/>
      <c r="H167" s="646"/>
      <c r="I167" s="646"/>
      <c r="J167" s="646"/>
      <c r="K167" s="646"/>
      <c r="L167" s="130"/>
      <c r="M167" s="130"/>
      <c r="N167" s="130"/>
      <c r="O167" s="130"/>
      <c r="P167" s="154"/>
      <c r="Q167" s="130"/>
      <c r="R167" s="146"/>
      <c r="S167" s="146"/>
      <c r="T167" s="142"/>
      <c r="U167" s="142"/>
      <c r="V167" s="142"/>
      <c r="W167" s="142"/>
      <c r="X167" s="146"/>
      <c r="Y167" s="142"/>
      <c r="Z167" s="142"/>
    </row>
    <row r="168" spans="1:26" s="149" customFormat="1" ht="38.25" customHeight="1">
      <c r="A168" s="875" t="s">
        <v>65</v>
      </c>
      <c r="B168" s="875"/>
      <c r="C168" s="875"/>
      <c r="D168" s="875"/>
      <c r="E168" s="875"/>
      <c r="F168" s="875"/>
      <c r="G168" s="345" t="str">
        <f>G163</f>
        <v>QUAT.</v>
      </c>
      <c r="H168" s="875" t="str">
        <f>H163</f>
        <v>PREÇO</v>
      </c>
      <c r="I168" s="875"/>
      <c r="J168" s="764" t="str">
        <f>J163</f>
        <v>VALOR TOTAL</v>
      </c>
      <c r="K168" s="764"/>
      <c r="L168" s="147"/>
      <c r="M168" s="147"/>
      <c r="N168" s="147"/>
      <c r="O168" s="147"/>
      <c r="P168" s="151"/>
      <c r="Q168" s="147"/>
      <c r="R168" s="146"/>
      <c r="S168" s="146"/>
      <c r="T168" s="142"/>
      <c r="U168" s="142"/>
      <c r="V168" s="142"/>
      <c r="W168" s="142"/>
      <c r="X168" s="146"/>
      <c r="Y168" s="142"/>
      <c r="Z168" s="142"/>
    </row>
    <row r="169" spans="1:26" s="149" customFormat="1" ht="15.6">
      <c r="A169" s="570" t="s">
        <v>634</v>
      </c>
      <c r="B169" s="570"/>
      <c r="C169" s="570"/>
      <c r="D169" s="570"/>
      <c r="E169" s="570"/>
      <c r="F169" s="570"/>
      <c r="G169" s="300">
        <f>2*M130+M131</f>
        <v>114.72510972510973</v>
      </c>
      <c r="H169" s="872">
        <f>'BANCO DE DADOS'!E104</f>
        <v>18.52</v>
      </c>
      <c r="I169" s="872"/>
      <c r="J169" s="723">
        <f>ROUND(G169*H169,2)</f>
        <v>2124.71</v>
      </c>
      <c r="K169" s="723"/>
      <c r="L169" s="147"/>
      <c r="M169" s="147"/>
      <c r="N169" s="147"/>
      <c r="O169" s="147"/>
      <c r="P169" s="151"/>
      <c r="Q169" s="147"/>
      <c r="R169" s="146"/>
      <c r="S169" s="146"/>
      <c r="T169" s="142"/>
      <c r="U169" s="142"/>
      <c r="V169" s="142"/>
      <c r="W169" s="142"/>
      <c r="X169" s="146"/>
      <c r="Y169" s="142"/>
      <c r="Z169" s="142"/>
    </row>
    <row r="170" spans="1:26" s="149" customFormat="1" ht="15.6">
      <c r="A170" s="570" t="s">
        <v>635</v>
      </c>
      <c r="B170" s="570"/>
      <c r="C170" s="570"/>
      <c r="D170" s="570"/>
      <c r="E170" s="570"/>
      <c r="F170" s="570"/>
      <c r="G170" s="300">
        <f>M130+M131</f>
        <v>59.862554862554866</v>
      </c>
      <c r="H170" s="872">
        <f>'BANCO DE DADOS'!E105</f>
        <v>21.76</v>
      </c>
      <c r="I170" s="872"/>
      <c r="J170" s="723">
        <f>ROUND(G170*H170,2)</f>
        <v>1302.6099999999999</v>
      </c>
      <c r="K170" s="723"/>
      <c r="L170" s="147"/>
      <c r="M170" s="147"/>
      <c r="N170" s="147"/>
      <c r="O170" s="147"/>
      <c r="P170" s="151"/>
      <c r="Q170" s="147"/>
      <c r="R170" s="146"/>
      <c r="S170" s="146"/>
      <c r="T170" s="142"/>
      <c r="U170" s="142"/>
      <c r="V170" s="142"/>
      <c r="W170" s="142"/>
      <c r="X170" s="146"/>
      <c r="Y170" s="142"/>
      <c r="Z170" s="142"/>
    </row>
    <row r="171" spans="1:26" s="149" customFormat="1" ht="15.6">
      <c r="A171" s="570" t="s">
        <v>636</v>
      </c>
      <c r="B171" s="570"/>
      <c r="C171" s="570"/>
      <c r="D171" s="570"/>
      <c r="E171" s="570"/>
      <c r="F171" s="570"/>
      <c r="G171" s="300">
        <f>M130+M131</f>
        <v>59.862554862554866</v>
      </c>
      <c r="H171" s="872">
        <f>'BANCO DE DADOS'!E108</f>
        <v>19.7</v>
      </c>
      <c r="I171" s="872"/>
      <c r="J171" s="723">
        <f>ROUND(G171*H171,2)</f>
        <v>1179.29</v>
      </c>
      <c r="K171" s="723"/>
      <c r="L171" s="147"/>
      <c r="M171" s="147"/>
      <c r="N171" s="147"/>
      <c r="O171" s="147"/>
      <c r="P171" s="151"/>
      <c r="Q171" s="147"/>
      <c r="R171" s="146"/>
      <c r="S171" s="146"/>
      <c r="T171" s="142"/>
      <c r="U171" s="142"/>
      <c r="V171" s="142"/>
      <c r="W171" s="142"/>
      <c r="X171" s="146"/>
      <c r="Y171" s="142"/>
      <c r="Z171" s="142"/>
    </row>
    <row r="172" spans="1:26" s="149" customFormat="1" ht="15.6">
      <c r="A172" s="570" t="s">
        <v>45</v>
      </c>
      <c r="B172" s="570"/>
      <c r="C172" s="570"/>
      <c r="D172" s="570"/>
      <c r="E172" s="570"/>
      <c r="F172" s="570"/>
      <c r="G172" s="300">
        <f>G171/6</f>
        <v>9.9770924770924783</v>
      </c>
      <c r="H172" s="872">
        <f>'BANCO DE DADOS'!E106</f>
        <v>25.9</v>
      </c>
      <c r="I172" s="872"/>
      <c r="J172" s="723">
        <f>ROUND(G172*H172,2)</f>
        <v>258.41000000000003</v>
      </c>
      <c r="K172" s="723"/>
      <c r="L172" s="147"/>
      <c r="M172" s="147"/>
      <c r="N172" s="147"/>
      <c r="O172" s="147"/>
      <c r="P172" s="151"/>
      <c r="Q172" s="147"/>
      <c r="R172" s="146"/>
      <c r="S172" s="146"/>
      <c r="T172" s="142"/>
      <c r="U172" s="142"/>
      <c r="V172" s="142"/>
      <c r="W172" s="142"/>
      <c r="X172" s="146"/>
      <c r="Y172" s="142"/>
      <c r="Z172" s="142"/>
    </row>
    <row r="173" spans="1:26" s="149" customFormat="1" ht="15.6">
      <c r="A173" s="570" t="s">
        <v>64</v>
      </c>
      <c r="B173" s="570"/>
      <c r="C173" s="570"/>
      <c r="D173" s="570"/>
      <c r="E173" s="570"/>
      <c r="F173" s="570"/>
      <c r="G173" s="253">
        <v>10000</v>
      </c>
      <c r="H173" s="872">
        <f>'BANCO DE DADOS'!E107/100</f>
        <v>0.49659999999999999</v>
      </c>
      <c r="I173" s="872"/>
      <c r="J173" s="723">
        <f>ROUND(G173*H173,2)</f>
        <v>4966</v>
      </c>
      <c r="K173" s="723"/>
      <c r="L173" s="147"/>
      <c r="M173" s="147"/>
      <c r="N173" s="147"/>
      <c r="O173" s="147"/>
      <c r="P173" s="151"/>
      <c r="Q173" s="147"/>
      <c r="R173" s="146"/>
      <c r="S173" s="146"/>
      <c r="T173" s="142"/>
      <c r="U173" s="142"/>
      <c r="V173" s="142"/>
      <c r="W173" s="142"/>
      <c r="X173" s="146"/>
      <c r="Y173" s="142"/>
      <c r="Z173" s="142"/>
    </row>
    <row r="174" spans="1:26" s="149" customFormat="1" ht="18">
      <c r="A174" s="683" t="s">
        <v>46</v>
      </c>
      <c r="B174" s="683"/>
      <c r="C174" s="683"/>
      <c r="D174" s="683"/>
      <c r="E174" s="683"/>
      <c r="F174" s="683"/>
      <c r="G174" s="683"/>
      <c r="H174" s="683"/>
      <c r="I174" s="574">
        <f>SUM(J169:K173)</f>
        <v>9831.02</v>
      </c>
      <c r="J174" s="574">
        <f>SUM(J169:K173)</f>
        <v>9831.02</v>
      </c>
      <c r="K174" s="574"/>
      <c r="L174" s="130"/>
      <c r="M174" s="130"/>
      <c r="N174" s="130"/>
      <c r="O174" s="130"/>
      <c r="P174" s="154"/>
      <c r="Q174" s="130"/>
      <c r="R174" s="146"/>
      <c r="S174" s="146"/>
      <c r="T174" s="142"/>
      <c r="U174" s="142"/>
      <c r="V174" s="142"/>
      <c r="W174" s="142"/>
      <c r="X174" s="146"/>
      <c r="Y174" s="142"/>
      <c r="Z174" s="142"/>
    </row>
    <row r="175" spans="1:26" s="149" customFormat="1" ht="15.6">
      <c r="A175" s="147"/>
      <c r="B175" s="150"/>
      <c r="C175" s="148"/>
      <c r="D175" s="147"/>
      <c r="E175" s="148"/>
      <c r="F175" s="147"/>
      <c r="G175" s="147"/>
      <c r="H175" s="147"/>
      <c r="I175" s="147"/>
      <c r="J175" s="147"/>
      <c r="K175" s="147"/>
      <c r="L175" s="147"/>
      <c r="M175" s="147"/>
      <c r="N175" s="147"/>
      <c r="O175" s="147"/>
      <c r="P175" s="151"/>
      <c r="Q175" s="147"/>
      <c r="R175" s="146"/>
      <c r="S175" s="146"/>
      <c r="T175" s="142"/>
      <c r="U175" s="142"/>
      <c r="V175" s="142"/>
      <c r="W175" s="142"/>
      <c r="X175" s="146"/>
      <c r="Y175" s="142"/>
      <c r="Z175" s="142"/>
    </row>
    <row r="176" spans="1:26" s="149" customFormat="1" ht="15.6">
      <c r="A176" s="646" t="s">
        <v>329</v>
      </c>
      <c r="B176" s="646"/>
      <c r="C176" s="646"/>
      <c r="D176" s="646"/>
      <c r="E176" s="646"/>
      <c r="F176" s="646"/>
      <c r="G176" s="646"/>
      <c r="H176" s="646"/>
      <c r="I176" s="646"/>
      <c r="J176" s="646"/>
      <c r="K176" s="646"/>
      <c r="L176" s="130"/>
      <c r="M176" s="130"/>
      <c r="N176" s="130"/>
      <c r="O176" s="130"/>
      <c r="P176" s="154"/>
      <c r="Q176" s="130"/>
      <c r="R176" s="146"/>
      <c r="S176" s="146"/>
      <c r="T176" s="142"/>
      <c r="U176" s="142"/>
      <c r="V176" s="142"/>
      <c r="W176" s="142"/>
      <c r="X176" s="146"/>
      <c r="Y176" s="142"/>
      <c r="Z176" s="142"/>
    </row>
    <row r="177" spans="1:26" s="149" customFormat="1" ht="15.6">
      <c r="A177" s="720" t="s">
        <v>48</v>
      </c>
      <c r="B177" s="720"/>
      <c r="C177" s="720"/>
      <c r="D177" s="720"/>
      <c r="E177" s="720"/>
      <c r="F177" s="158" t="str">
        <f>G168</f>
        <v>QUAT.</v>
      </c>
      <c r="G177" s="720" t="str">
        <f>H168</f>
        <v>PREÇO</v>
      </c>
      <c r="H177" s="720"/>
      <c r="I177" s="158" t="s">
        <v>47</v>
      </c>
      <c r="J177" s="720" t="str">
        <f>J168</f>
        <v>VALOR TOTAL</v>
      </c>
      <c r="K177" s="720"/>
      <c r="L177" s="147"/>
      <c r="M177" s="147"/>
      <c r="N177" s="147"/>
      <c r="O177" s="147"/>
      <c r="P177" s="151"/>
      <c r="Q177" s="147"/>
      <c r="R177" s="146"/>
      <c r="S177" s="146"/>
      <c r="T177" s="142"/>
      <c r="U177" s="142"/>
      <c r="V177" s="142"/>
      <c r="W177" s="142"/>
      <c r="X177" s="146"/>
      <c r="Y177" s="142"/>
      <c r="Z177" s="142"/>
    </row>
    <row r="178" spans="1:26" s="149" customFormat="1" ht="15.6">
      <c r="A178" s="867" t="s">
        <v>66</v>
      </c>
      <c r="B178" s="868"/>
      <c r="C178" s="868"/>
      <c r="D178" s="868"/>
      <c r="E178" s="869"/>
      <c r="F178" s="301">
        <f>D130</f>
        <v>29.931277431277433</v>
      </c>
      <c r="G178" s="824">
        <f>'BANCO DE DADOS'!E109</f>
        <v>435</v>
      </c>
      <c r="H178" s="824"/>
      <c r="I178" s="159">
        <v>12</v>
      </c>
      <c r="J178" s="824">
        <f>ROUND(F178*G178/I178,2)</f>
        <v>1085.01</v>
      </c>
      <c r="K178" s="824"/>
      <c r="L178" s="147"/>
      <c r="M178" s="147"/>
      <c r="N178" s="147"/>
      <c r="O178" s="147"/>
      <c r="P178" s="151"/>
      <c r="Q178" s="147"/>
      <c r="R178" s="146"/>
      <c r="S178" s="146"/>
      <c r="T178" s="142"/>
      <c r="U178" s="142"/>
      <c r="V178" s="142"/>
      <c r="W178" s="142"/>
      <c r="X178" s="146"/>
      <c r="Y178" s="142"/>
      <c r="Z178" s="142"/>
    </row>
    <row r="179" spans="1:26" s="149" customFormat="1" ht="18">
      <c r="A179" s="683" t="s">
        <v>300</v>
      </c>
      <c r="B179" s="683"/>
      <c r="C179" s="683"/>
      <c r="D179" s="683"/>
      <c r="E179" s="683"/>
      <c r="F179" s="683"/>
      <c r="G179" s="683"/>
      <c r="H179" s="683"/>
      <c r="I179" s="574">
        <f>J178</f>
        <v>1085.01</v>
      </c>
      <c r="J179" s="574">
        <f>J178</f>
        <v>1085.01</v>
      </c>
      <c r="K179" s="574"/>
      <c r="L179" s="130"/>
      <c r="M179" s="130"/>
      <c r="N179" s="130"/>
      <c r="O179" s="130"/>
      <c r="P179" s="154"/>
      <c r="Q179" s="130"/>
      <c r="R179" s="146"/>
      <c r="S179" s="146"/>
      <c r="T179" s="142"/>
      <c r="U179" s="142"/>
      <c r="V179" s="142"/>
      <c r="W179" s="142"/>
      <c r="X179" s="146"/>
      <c r="Y179" s="142"/>
      <c r="Z179" s="142"/>
    </row>
    <row r="180" spans="1:26" s="149" customFormat="1" ht="16.2" thickBot="1">
      <c r="A180" s="147"/>
      <c r="B180" s="150"/>
      <c r="C180" s="148"/>
      <c r="D180" s="147"/>
      <c r="E180" s="148"/>
      <c r="F180" s="147"/>
      <c r="G180" s="147"/>
      <c r="H180" s="147"/>
      <c r="I180" s="147"/>
      <c r="J180" s="147"/>
      <c r="K180" s="147"/>
      <c r="L180" s="147"/>
      <c r="M180" s="147"/>
      <c r="N180" s="147"/>
      <c r="O180" s="147"/>
      <c r="P180" s="151"/>
      <c r="Q180" s="147"/>
      <c r="R180" s="146"/>
      <c r="S180" s="146"/>
      <c r="T180" s="142"/>
      <c r="U180" s="142"/>
      <c r="V180" s="142"/>
      <c r="W180" s="142"/>
      <c r="X180" s="146"/>
      <c r="Y180" s="142"/>
      <c r="Z180" s="142"/>
    </row>
    <row r="181" spans="1:26" s="149" customFormat="1" ht="24.75" customHeight="1">
      <c r="A181" s="604" t="s">
        <v>49</v>
      </c>
      <c r="B181" s="605"/>
      <c r="C181" s="605"/>
      <c r="D181" s="605"/>
      <c r="E181" s="605"/>
      <c r="F181" s="605"/>
      <c r="G181" s="605"/>
      <c r="H181" s="605"/>
      <c r="I181" s="605"/>
      <c r="J181" s="605"/>
      <c r="K181" s="605"/>
      <c r="L181" s="605"/>
      <c r="M181" s="605"/>
      <c r="N181" s="862">
        <f>M23</f>
        <v>269210.58215498133</v>
      </c>
      <c r="O181" s="862"/>
      <c r="P181" s="862"/>
      <c r="Q181" s="863"/>
      <c r="R181" s="146"/>
      <c r="S181" s="146"/>
      <c r="T181" s="142"/>
      <c r="U181" s="142"/>
      <c r="V181" s="142"/>
      <c r="W181" s="142"/>
      <c r="X181" s="146"/>
      <c r="Y181" s="142"/>
      <c r="Z181" s="142"/>
    </row>
    <row r="182" spans="1:26" s="149" customFormat="1" ht="24.75" customHeight="1">
      <c r="A182" s="850" t="s">
        <v>7</v>
      </c>
      <c r="B182" s="851"/>
      <c r="C182" s="851"/>
      <c r="D182" s="851"/>
      <c r="E182" s="851"/>
      <c r="F182" s="851"/>
      <c r="G182" s="851"/>
      <c r="H182" s="851"/>
      <c r="I182" s="851"/>
      <c r="J182" s="851"/>
      <c r="K182" s="851"/>
      <c r="L182" s="854">
        <f>BDI!D21</f>
        <v>0.29432432362637373</v>
      </c>
      <c r="M182" s="720"/>
      <c r="N182" s="846">
        <f>N181*1.2943</f>
        <v>348439.25648319232</v>
      </c>
      <c r="O182" s="846"/>
      <c r="P182" s="846"/>
      <c r="Q182" s="847"/>
      <c r="R182" s="146"/>
      <c r="S182" s="146"/>
      <c r="T182" s="142"/>
      <c r="U182" s="142"/>
      <c r="V182" s="142"/>
      <c r="W182" s="142"/>
      <c r="X182" s="146"/>
      <c r="Y182" s="142"/>
      <c r="Z182" s="142"/>
    </row>
    <row r="183" spans="1:26" s="149" customFormat="1" ht="24.75" customHeight="1">
      <c r="A183" s="850" t="s">
        <v>50</v>
      </c>
      <c r="B183" s="851"/>
      <c r="C183" s="851"/>
      <c r="D183" s="851"/>
      <c r="E183" s="851"/>
      <c r="F183" s="851"/>
      <c r="G183" s="851"/>
      <c r="H183" s="851"/>
      <c r="I183" s="851"/>
      <c r="J183" s="851"/>
      <c r="K183" s="851"/>
      <c r="L183" s="851"/>
      <c r="M183" s="851"/>
      <c r="N183" s="846">
        <f>D126</f>
        <v>3800</v>
      </c>
      <c r="O183" s="846"/>
      <c r="P183" s="846"/>
      <c r="Q183" s="847"/>
      <c r="R183" s="146"/>
      <c r="S183" s="146"/>
      <c r="T183" s="142"/>
      <c r="U183" s="142"/>
      <c r="V183" s="142"/>
      <c r="W183" s="142"/>
      <c r="X183" s="146"/>
      <c r="Y183" s="142"/>
      <c r="Z183" s="142"/>
    </row>
    <row r="184" spans="1:26" s="149" customFormat="1" ht="24.75" customHeight="1" thickBot="1">
      <c r="A184" s="852" t="s">
        <v>51</v>
      </c>
      <c r="B184" s="853"/>
      <c r="C184" s="853"/>
      <c r="D184" s="853"/>
      <c r="E184" s="853"/>
      <c r="F184" s="853"/>
      <c r="G184" s="853"/>
      <c r="H184" s="853"/>
      <c r="I184" s="853"/>
      <c r="J184" s="853"/>
      <c r="K184" s="853"/>
      <c r="L184" s="853"/>
      <c r="M184" s="853"/>
      <c r="N184" s="848">
        <f>N182/N183</f>
        <v>91.69454117978745</v>
      </c>
      <c r="O184" s="848"/>
      <c r="P184" s="848"/>
      <c r="Q184" s="849"/>
      <c r="R184" s="146"/>
      <c r="S184" s="146"/>
      <c r="T184" s="142"/>
      <c r="U184" s="142"/>
      <c r="V184" s="142"/>
      <c r="W184" s="142"/>
      <c r="X184" s="146"/>
      <c r="Y184" s="142"/>
      <c r="Z184" s="142"/>
    </row>
    <row r="185" spans="1:26" s="142" customFormat="1" ht="15.6">
      <c r="B185" s="160"/>
      <c r="C185" s="146"/>
      <c r="E185" s="146"/>
      <c r="G185" s="347"/>
      <c r="H185" s="347"/>
      <c r="P185" s="161"/>
      <c r="R185" s="146"/>
      <c r="S185" s="146"/>
      <c r="X185" s="146"/>
    </row>
  </sheetData>
  <mergeCells count="606">
    <mergeCell ref="A56:M56"/>
    <mergeCell ref="A58:M58"/>
    <mergeCell ref="A60:G60"/>
    <mergeCell ref="H60:I60"/>
    <mergeCell ref="J60:K60"/>
    <mergeCell ref="L60:M60"/>
    <mergeCell ref="H54:I54"/>
    <mergeCell ref="A55:G55"/>
    <mergeCell ref="N54:O54"/>
    <mergeCell ref="B13:L13"/>
    <mergeCell ref="B14:L14"/>
    <mergeCell ref="M13:O13"/>
    <mergeCell ref="P13:Q13"/>
    <mergeCell ref="M14:O14"/>
    <mergeCell ref="P14:Q14"/>
    <mergeCell ref="B15:L15"/>
    <mergeCell ref="A77:G77"/>
    <mergeCell ref="H77:I77"/>
    <mergeCell ref="J77:K77"/>
    <mergeCell ref="L77:M77"/>
    <mergeCell ref="N77:O77"/>
    <mergeCell ref="N75:O75"/>
    <mergeCell ref="J74:K74"/>
    <mergeCell ref="L74:M74"/>
    <mergeCell ref="N74:O74"/>
    <mergeCell ref="P77:Q77"/>
    <mergeCell ref="P75:Q75"/>
    <mergeCell ref="A75:M75"/>
    <mergeCell ref="P70:Q70"/>
    <mergeCell ref="J71:K71"/>
    <mergeCell ref="L71:M71"/>
    <mergeCell ref="N71:O71"/>
    <mergeCell ref="L54:M54"/>
    <mergeCell ref="H78:I78"/>
    <mergeCell ref="J78:K78"/>
    <mergeCell ref="L78:M78"/>
    <mergeCell ref="N78:O78"/>
    <mergeCell ref="P78:Q78"/>
    <mergeCell ref="A155:Q155"/>
    <mergeCell ref="G158:H158"/>
    <mergeCell ref="G159:H159"/>
    <mergeCell ref="E158:F158"/>
    <mergeCell ref="E159:F159"/>
    <mergeCell ref="A158:D158"/>
    <mergeCell ref="A159:D159"/>
    <mergeCell ref="A157:K157"/>
    <mergeCell ref="P79:Q79"/>
    <mergeCell ref="A80:G80"/>
    <mergeCell ref="H80:I80"/>
    <mergeCell ref="J80:K80"/>
    <mergeCell ref="L80:M80"/>
    <mergeCell ref="N80:O80"/>
    <mergeCell ref="P80:Q80"/>
    <mergeCell ref="A81:G81"/>
    <mergeCell ref="H81:I81"/>
    <mergeCell ref="J81:K81"/>
    <mergeCell ref="A82:G82"/>
    <mergeCell ref="H82:I82"/>
    <mergeCell ref="J82:K82"/>
    <mergeCell ref="L82:M82"/>
    <mergeCell ref="N82:O82"/>
    <mergeCell ref="P82:Q82"/>
    <mergeCell ref="J72:K72"/>
    <mergeCell ref="L72:M72"/>
    <mergeCell ref="N72:O72"/>
    <mergeCell ref="P72:Q72"/>
    <mergeCell ref="A72:G72"/>
    <mergeCell ref="H72:I72"/>
    <mergeCell ref="L81:M81"/>
    <mergeCell ref="N81:O81"/>
    <mergeCell ref="P81:Q81"/>
    <mergeCell ref="A79:M79"/>
    <mergeCell ref="N79:O79"/>
    <mergeCell ref="P74:Q74"/>
    <mergeCell ref="A74:G74"/>
    <mergeCell ref="H74:I74"/>
    <mergeCell ref="N73:O73"/>
    <mergeCell ref="P73:Q73"/>
    <mergeCell ref="A73:M73"/>
    <mergeCell ref="A78:G78"/>
    <mergeCell ref="H67:I67"/>
    <mergeCell ref="P71:Q71"/>
    <mergeCell ref="A70:G70"/>
    <mergeCell ref="H70:I70"/>
    <mergeCell ref="J69:K69"/>
    <mergeCell ref="L69:M69"/>
    <mergeCell ref="N69:O69"/>
    <mergeCell ref="P69:Q69"/>
    <mergeCell ref="A69:G69"/>
    <mergeCell ref="H69:I69"/>
    <mergeCell ref="J66:K66"/>
    <mergeCell ref="L66:M66"/>
    <mergeCell ref="N66:O66"/>
    <mergeCell ref="P66:Q66"/>
    <mergeCell ref="A66:G66"/>
    <mergeCell ref="A83:G83"/>
    <mergeCell ref="H83:I83"/>
    <mergeCell ref="J83:K83"/>
    <mergeCell ref="L83:M83"/>
    <mergeCell ref="N83:O83"/>
    <mergeCell ref="P83:Q83"/>
    <mergeCell ref="H66:I66"/>
    <mergeCell ref="A71:G71"/>
    <mergeCell ref="J68:K68"/>
    <mergeCell ref="L68:M68"/>
    <mergeCell ref="N68:O68"/>
    <mergeCell ref="P68:Q68"/>
    <mergeCell ref="A68:G68"/>
    <mergeCell ref="H68:I68"/>
    <mergeCell ref="J67:K67"/>
    <mergeCell ref="L67:M67"/>
    <mergeCell ref="N67:O67"/>
    <mergeCell ref="P67:Q67"/>
    <mergeCell ref="A67:G67"/>
    <mergeCell ref="A84:G84"/>
    <mergeCell ref="H84:I84"/>
    <mergeCell ref="J84:K84"/>
    <mergeCell ref="L84:M84"/>
    <mergeCell ref="N84:O84"/>
    <mergeCell ref="P84:Q84"/>
    <mergeCell ref="A85:G85"/>
    <mergeCell ref="H85:I85"/>
    <mergeCell ref="J85:K85"/>
    <mergeCell ref="L85:M85"/>
    <mergeCell ref="N85:O85"/>
    <mergeCell ref="P85:Q85"/>
    <mergeCell ref="A86:G86"/>
    <mergeCell ref="H86:I86"/>
    <mergeCell ref="J86:K86"/>
    <mergeCell ref="L86:M86"/>
    <mergeCell ref="N86:O86"/>
    <mergeCell ref="P86:Q86"/>
    <mergeCell ref="A87:G87"/>
    <mergeCell ref="H87:I87"/>
    <mergeCell ref="J87:K87"/>
    <mergeCell ref="L87:M87"/>
    <mergeCell ref="N87:O87"/>
    <mergeCell ref="P87:Q87"/>
    <mergeCell ref="A88:G88"/>
    <mergeCell ref="H88:I88"/>
    <mergeCell ref="J88:K88"/>
    <mergeCell ref="L88:M88"/>
    <mergeCell ref="N88:O88"/>
    <mergeCell ref="P88:Q88"/>
    <mergeCell ref="A89:M89"/>
    <mergeCell ref="N89:O89"/>
    <mergeCell ref="P89:Q89"/>
    <mergeCell ref="A90:G90"/>
    <mergeCell ref="H90:I90"/>
    <mergeCell ref="J90:K90"/>
    <mergeCell ref="L90:M90"/>
    <mergeCell ref="N90:O90"/>
    <mergeCell ref="P90:Q90"/>
    <mergeCell ref="A91:M91"/>
    <mergeCell ref="N91:O91"/>
    <mergeCell ref="P91:Q91"/>
    <mergeCell ref="A162:K162"/>
    <mergeCell ref="J163:K163"/>
    <mergeCell ref="A120:G120"/>
    <mergeCell ref="H120:I120"/>
    <mergeCell ref="J120:K120"/>
    <mergeCell ref="N95:O95"/>
    <mergeCell ref="P95:Q95"/>
    <mergeCell ref="A95:M95"/>
    <mergeCell ref="J100:K100"/>
    <mergeCell ref="L100:M100"/>
    <mergeCell ref="N100:O100"/>
    <mergeCell ref="P100:Q100"/>
    <mergeCell ref="J102:K102"/>
    <mergeCell ref="L102:M102"/>
    <mergeCell ref="N102:O102"/>
    <mergeCell ref="P102:Q102"/>
    <mergeCell ref="J103:K103"/>
    <mergeCell ref="L103:M103"/>
    <mergeCell ref="N103:O103"/>
    <mergeCell ref="P103:Q103"/>
    <mergeCell ref="J104:K104"/>
    <mergeCell ref="L104:M104"/>
    <mergeCell ref="A100:G100"/>
    <mergeCell ref="H100:I100"/>
    <mergeCell ref="A164:F164"/>
    <mergeCell ref="J164:K164"/>
    <mergeCell ref="A165:H165"/>
    <mergeCell ref="I165:K165"/>
    <mergeCell ref="L120:M120"/>
    <mergeCell ref="N120:O120"/>
    <mergeCell ref="P120:Q120"/>
    <mergeCell ref="J144:K144"/>
    <mergeCell ref="A150:C150"/>
    <mergeCell ref="A151:C151"/>
    <mergeCell ref="A152:C152"/>
    <mergeCell ref="A145:C145"/>
    <mergeCell ref="A146:C146"/>
    <mergeCell ref="A147:C147"/>
    <mergeCell ref="A148:C148"/>
    <mergeCell ref="A153:F153"/>
    <mergeCell ref="D145:E145"/>
    <mergeCell ref="D146:E146"/>
    <mergeCell ref="D147:E147"/>
    <mergeCell ref="D148:E148"/>
    <mergeCell ref="D149:E149"/>
    <mergeCell ref="A160:H160"/>
    <mergeCell ref="A98:G98"/>
    <mergeCell ref="H98:I98"/>
    <mergeCell ref="J98:K98"/>
    <mergeCell ref="L98:M98"/>
    <mergeCell ref="N98:O98"/>
    <mergeCell ref="P98:Q98"/>
    <mergeCell ref="A96:G96"/>
    <mergeCell ref="A99:G99"/>
    <mergeCell ref="H99:I99"/>
    <mergeCell ref="J99:K99"/>
    <mergeCell ref="L99:M99"/>
    <mergeCell ref="N99:O99"/>
    <mergeCell ref="P99:Q99"/>
    <mergeCell ref="A102:G102"/>
    <mergeCell ref="H102:I102"/>
    <mergeCell ref="A104:G104"/>
    <mergeCell ref="A103:G103"/>
    <mergeCell ref="H103:I103"/>
    <mergeCell ref="H104:I104"/>
    <mergeCell ref="A134:I134"/>
    <mergeCell ref="A136:F136"/>
    <mergeCell ref="A137:F137"/>
    <mergeCell ref="J65:K65"/>
    <mergeCell ref="L65:M65"/>
    <mergeCell ref="N65:O65"/>
    <mergeCell ref="P65:Q65"/>
    <mergeCell ref="A65:G65"/>
    <mergeCell ref="A2:Q2"/>
    <mergeCell ref="J64:K64"/>
    <mergeCell ref="L64:M64"/>
    <mergeCell ref="N64:O64"/>
    <mergeCell ref="P64:Q64"/>
    <mergeCell ref="A64:G64"/>
    <mergeCell ref="N56:O56"/>
    <mergeCell ref="P56:Q56"/>
    <mergeCell ref="H57:I57"/>
    <mergeCell ref="J57:K57"/>
    <mergeCell ref="L57:M57"/>
    <mergeCell ref="N57:O57"/>
    <mergeCell ref="P57:Q57"/>
    <mergeCell ref="A57:G57"/>
    <mergeCell ref="H55:I55"/>
    <mergeCell ref="J55:K55"/>
    <mergeCell ref="L55:M55"/>
    <mergeCell ref="N55:O55"/>
    <mergeCell ref="P55:Q55"/>
    <mergeCell ref="N104:O104"/>
    <mergeCell ref="P104:Q104"/>
    <mergeCell ref="N105:O105"/>
    <mergeCell ref="P105:Q105"/>
    <mergeCell ref="A105:M105"/>
    <mergeCell ref="A174:H174"/>
    <mergeCell ref="I174:K174"/>
    <mergeCell ref="A106:G106"/>
    <mergeCell ref="H106:I106"/>
    <mergeCell ref="J106:K106"/>
    <mergeCell ref="L106:M106"/>
    <mergeCell ref="A114:G114"/>
    <mergeCell ref="H114:I114"/>
    <mergeCell ref="J114:K114"/>
    <mergeCell ref="L114:M114"/>
    <mergeCell ref="N106:O106"/>
    <mergeCell ref="P106:Q106"/>
    <mergeCell ref="A107:M107"/>
    <mergeCell ref="N107:O107"/>
    <mergeCell ref="P107:Q107"/>
    <mergeCell ref="N109:O109"/>
    <mergeCell ref="P109:Q109"/>
    <mergeCell ref="P110:Q110"/>
    <mergeCell ref="A111:M111"/>
    <mergeCell ref="J112:K112"/>
    <mergeCell ref="L112:M112"/>
    <mergeCell ref="A179:H179"/>
    <mergeCell ref="I179:K179"/>
    <mergeCell ref="A176:K176"/>
    <mergeCell ref="A178:E178"/>
    <mergeCell ref="A113:G113"/>
    <mergeCell ref="H113:I113"/>
    <mergeCell ref="J113:K113"/>
    <mergeCell ref="L113:M113"/>
    <mergeCell ref="A116:G116"/>
    <mergeCell ref="H116:I116"/>
    <mergeCell ref="J116:K116"/>
    <mergeCell ref="L116:M116"/>
    <mergeCell ref="A118:G118"/>
    <mergeCell ref="H118:I118"/>
    <mergeCell ref="J118:K118"/>
    <mergeCell ref="L118:M118"/>
    <mergeCell ref="G139:H139"/>
    <mergeCell ref="A135:F135"/>
    <mergeCell ref="G135:H135"/>
    <mergeCell ref="H171:I171"/>
    <mergeCell ref="H172:I172"/>
    <mergeCell ref="H173:I173"/>
    <mergeCell ref="N94:O94"/>
    <mergeCell ref="P94:Q94"/>
    <mergeCell ref="A93:G93"/>
    <mergeCell ref="H93:I93"/>
    <mergeCell ref="J93:K93"/>
    <mergeCell ref="L93:M93"/>
    <mergeCell ref="N93:O93"/>
    <mergeCell ref="P93:Q93"/>
    <mergeCell ref="A97:G97"/>
    <mergeCell ref="H97:I97"/>
    <mergeCell ref="J97:K97"/>
    <mergeCell ref="L97:M97"/>
    <mergeCell ref="A94:G94"/>
    <mergeCell ref="H94:I94"/>
    <mergeCell ref="J94:K94"/>
    <mergeCell ref="L94:M94"/>
    <mergeCell ref="H96:I96"/>
    <mergeCell ref="P96:Q96"/>
    <mergeCell ref="N97:O97"/>
    <mergeCell ref="P97:Q97"/>
    <mergeCell ref="P112:Q112"/>
    <mergeCell ref="P115:Q115"/>
    <mergeCell ref="J96:K96"/>
    <mergeCell ref="L96:M96"/>
    <mergeCell ref="N96:O96"/>
    <mergeCell ref="P101:Q101"/>
    <mergeCell ref="A109:G109"/>
    <mergeCell ref="H109:I109"/>
    <mergeCell ref="J109:K109"/>
    <mergeCell ref="L109:M109"/>
    <mergeCell ref="A110:G110"/>
    <mergeCell ref="H110:I110"/>
    <mergeCell ref="J110:K110"/>
    <mergeCell ref="L110:M110"/>
    <mergeCell ref="N110:O110"/>
    <mergeCell ref="N111:O111"/>
    <mergeCell ref="P111:Q111"/>
    <mergeCell ref="A101:G101"/>
    <mergeCell ref="H101:I101"/>
    <mergeCell ref="J101:K101"/>
    <mergeCell ref="L101:M101"/>
    <mergeCell ref="N101:O101"/>
    <mergeCell ref="A112:G112"/>
    <mergeCell ref="H112:I112"/>
    <mergeCell ref="N116:O116"/>
    <mergeCell ref="P116:Q116"/>
    <mergeCell ref="H71:I71"/>
    <mergeCell ref="H64:I64"/>
    <mergeCell ref="A117:G117"/>
    <mergeCell ref="H117:I117"/>
    <mergeCell ref="J117:K117"/>
    <mergeCell ref="L117:M117"/>
    <mergeCell ref="N117:O117"/>
    <mergeCell ref="P117:Q117"/>
    <mergeCell ref="J70:K70"/>
    <mergeCell ref="L70:M70"/>
    <mergeCell ref="N70:O70"/>
    <mergeCell ref="N113:O113"/>
    <mergeCell ref="P113:Q113"/>
    <mergeCell ref="N114:O114"/>
    <mergeCell ref="P114:Q114"/>
    <mergeCell ref="H65:I65"/>
    <mergeCell ref="A115:G115"/>
    <mergeCell ref="H115:I115"/>
    <mergeCell ref="J115:K115"/>
    <mergeCell ref="L115:M115"/>
    <mergeCell ref="N115:O115"/>
    <mergeCell ref="N112:O112"/>
    <mergeCell ref="A126:C126"/>
    <mergeCell ref="A127:C129"/>
    <mergeCell ref="A130:C132"/>
    <mergeCell ref="O125:Q131"/>
    <mergeCell ref="M128:N128"/>
    <mergeCell ref="A139:F139"/>
    <mergeCell ref="A140:F140"/>
    <mergeCell ref="G136:H136"/>
    <mergeCell ref="G137:H137"/>
    <mergeCell ref="G138:H138"/>
    <mergeCell ref="A138:F138"/>
    <mergeCell ref="G140:H140"/>
    <mergeCell ref="L119:M119"/>
    <mergeCell ref="N119:O119"/>
    <mergeCell ref="P119:Q119"/>
    <mergeCell ref="N181:Q181"/>
    <mergeCell ref="D128:G128"/>
    <mergeCell ref="D129:G129"/>
    <mergeCell ref="M126:N126"/>
    <mergeCell ref="D131:G131"/>
    <mergeCell ref="D132:G132"/>
    <mergeCell ref="A177:E177"/>
    <mergeCell ref="A171:F171"/>
    <mergeCell ref="A172:F172"/>
    <mergeCell ref="A173:F173"/>
    <mergeCell ref="F144:G144"/>
    <mergeCell ref="A141:F141"/>
    <mergeCell ref="A142:F142"/>
    <mergeCell ref="G141:H141"/>
    <mergeCell ref="G142:H142"/>
    <mergeCell ref="H144:I144"/>
    <mergeCell ref="A144:E144"/>
    <mergeCell ref="H169:I169"/>
    <mergeCell ref="H170:I170"/>
    <mergeCell ref="A169:F169"/>
    <mergeCell ref="A170:F170"/>
    <mergeCell ref="N182:Q182"/>
    <mergeCell ref="N183:Q183"/>
    <mergeCell ref="N184:Q184"/>
    <mergeCell ref="A181:M181"/>
    <mergeCell ref="A182:K182"/>
    <mergeCell ref="A183:M183"/>
    <mergeCell ref="A184:M184"/>
    <mergeCell ref="L182:M182"/>
    <mergeCell ref="A121:M121"/>
    <mergeCell ref="N121:O121"/>
    <mergeCell ref="P121:Q121"/>
    <mergeCell ref="A122:G122"/>
    <mergeCell ref="H122:I122"/>
    <mergeCell ref="J122:K122"/>
    <mergeCell ref="L122:M122"/>
    <mergeCell ref="N122:O122"/>
    <mergeCell ref="P122:Q122"/>
    <mergeCell ref="A123:M123"/>
    <mergeCell ref="N123:O123"/>
    <mergeCell ref="P123:Q123"/>
    <mergeCell ref="A125:G125"/>
    <mergeCell ref="D126:G126"/>
    <mergeCell ref="D130:G130"/>
    <mergeCell ref="D127:G127"/>
    <mergeCell ref="D150:E150"/>
    <mergeCell ref="D151:E151"/>
    <mergeCell ref="D152:E152"/>
    <mergeCell ref="A149:C149"/>
    <mergeCell ref="N63:O63"/>
    <mergeCell ref="P63:Q63"/>
    <mergeCell ref="A63:M63"/>
    <mergeCell ref="N58:O58"/>
    <mergeCell ref="P58:Q58"/>
    <mergeCell ref="N60:O60"/>
    <mergeCell ref="P60:Q60"/>
    <mergeCell ref="A61:G61"/>
    <mergeCell ref="H61:I61"/>
    <mergeCell ref="J61:K61"/>
    <mergeCell ref="L61:M61"/>
    <mergeCell ref="N61:O61"/>
    <mergeCell ref="P61:Q61"/>
    <mergeCell ref="I125:N125"/>
    <mergeCell ref="M127:N127"/>
    <mergeCell ref="N118:O118"/>
    <mergeCell ref="P118:Q118"/>
    <mergeCell ref="A119:G119"/>
    <mergeCell ref="H119:I119"/>
    <mergeCell ref="J119:K119"/>
    <mergeCell ref="P54:Q54"/>
    <mergeCell ref="A54:G54"/>
    <mergeCell ref="H53:I53"/>
    <mergeCell ref="J53:K53"/>
    <mergeCell ref="L53:M53"/>
    <mergeCell ref="N53:O53"/>
    <mergeCell ref="P53:Q53"/>
    <mergeCell ref="A53:G53"/>
    <mergeCell ref="J54:K54"/>
    <mergeCell ref="P52:Q52"/>
    <mergeCell ref="A52:G52"/>
    <mergeCell ref="H51:I51"/>
    <mergeCell ref="J51:K51"/>
    <mergeCell ref="L51:M51"/>
    <mergeCell ref="N51:O51"/>
    <mergeCell ref="P51:Q51"/>
    <mergeCell ref="A51:G51"/>
    <mergeCell ref="H50:I50"/>
    <mergeCell ref="J50:K50"/>
    <mergeCell ref="L50:M50"/>
    <mergeCell ref="N50:O50"/>
    <mergeCell ref="P50:Q50"/>
    <mergeCell ref="A50:G50"/>
    <mergeCell ref="H52:I52"/>
    <mergeCell ref="J52:K52"/>
    <mergeCell ref="L52:M52"/>
    <mergeCell ref="N52:O52"/>
    <mergeCell ref="P49:Q49"/>
    <mergeCell ref="A49:G49"/>
    <mergeCell ref="J47:K47"/>
    <mergeCell ref="L47:M47"/>
    <mergeCell ref="N47:O47"/>
    <mergeCell ref="P47:Q47"/>
    <mergeCell ref="H48:I48"/>
    <mergeCell ref="J48:K48"/>
    <mergeCell ref="L48:M48"/>
    <mergeCell ref="N48:O48"/>
    <mergeCell ref="P48:Q48"/>
    <mergeCell ref="A47:G47"/>
    <mergeCell ref="A48:G48"/>
    <mergeCell ref="H49:I49"/>
    <mergeCell ref="J49:K49"/>
    <mergeCell ref="L49:M49"/>
    <mergeCell ref="N49:O49"/>
    <mergeCell ref="L45:M45"/>
    <mergeCell ref="N45:O45"/>
    <mergeCell ref="P45:Q45"/>
    <mergeCell ref="A45:G45"/>
    <mergeCell ref="N46:O46"/>
    <mergeCell ref="P46:Q46"/>
    <mergeCell ref="H47:I47"/>
    <mergeCell ref="P43:Q43"/>
    <mergeCell ref="A40:Q40"/>
    <mergeCell ref="A43:G43"/>
    <mergeCell ref="H44:I44"/>
    <mergeCell ref="J44:K44"/>
    <mergeCell ref="L44:M44"/>
    <mergeCell ref="N44:O44"/>
    <mergeCell ref="P44:Q44"/>
    <mergeCell ref="A44:G44"/>
    <mergeCell ref="A46:M46"/>
    <mergeCell ref="H45:I45"/>
    <mergeCell ref="J45:K45"/>
    <mergeCell ref="L43:M43"/>
    <mergeCell ref="N43:O43"/>
    <mergeCell ref="P32:Q32"/>
    <mergeCell ref="P33:Q33"/>
    <mergeCell ref="P35:Q35"/>
    <mergeCell ref="A35:O35"/>
    <mergeCell ref="P36:Q36"/>
    <mergeCell ref="P37:Q37"/>
    <mergeCell ref="P38:Q38"/>
    <mergeCell ref="B36:O36"/>
    <mergeCell ref="B32:O32"/>
    <mergeCell ref="A33:O33"/>
    <mergeCell ref="M23:O23"/>
    <mergeCell ref="P23:Q23"/>
    <mergeCell ref="A62:G62"/>
    <mergeCell ref="H62:I62"/>
    <mergeCell ref="J62:K62"/>
    <mergeCell ref="L62:M62"/>
    <mergeCell ref="N62:O62"/>
    <mergeCell ref="P26:Q26"/>
    <mergeCell ref="P27:Q27"/>
    <mergeCell ref="P28:Q28"/>
    <mergeCell ref="A25:Q25"/>
    <mergeCell ref="A26:O26"/>
    <mergeCell ref="B27:O27"/>
    <mergeCell ref="P29:Q29"/>
    <mergeCell ref="P30:Q30"/>
    <mergeCell ref="P31:Q31"/>
    <mergeCell ref="B28:O28"/>
    <mergeCell ref="B29:O29"/>
    <mergeCell ref="B30:O30"/>
    <mergeCell ref="B31:O31"/>
    <mergeCell ref="B37:O37"/>
    <mergeCell ref="A38:O38"/>
    <mergeCell ref="H43:I43"/>
    <mergeCell ref="J43:K43"/>
    <mergeCell ref="M15:O15"/>
    <mergeCell ref="P15:Q15"/>
    <mergeCell ref="M16:O16"/>
    <mergeCell ref="P16:Q16"/>
    <mergeCell ref="B16:L16"/>
    <mergeCell ref="P62:Q62"/>
    <mergeCell ref="M17:O17"/>
    <mergeCell ref="P17:Q17"/>
    <mergeCell ref="M18:O18"/>
    <mergeCell ref="P18:Q18"/>
    <mergeCell ref="M21:O21"/>
    <mergeCell ref="P21:Q21"/>
    <mergeCell ref="M22:O22"/>
    <mergeCell ref="P22:Q22"/>
    <mergeCell ref="B21:L21"/>
    <mergeCell ref="B22:L22"/>
    <mergeCell ref="B17:L17"/>
    <mergeCell ref="B18:L18"/>
    <mergeCell ref="M19:O19"/>
    <mergeCell ref="P19:Q19"/>
    <mergeCell ref="M20:O20"/>
    <mergeCell ref="P20:Q20"/>
    <mergeCell ref="B20:L20"/>
    <mergeCell ref="B19:L19"/>
    <mergeCell ref="M11:O11"/>
    <mergeCell ref="P11:Q11"/>
    <mergeCell ref="M12:O12"/>
    <mergeCell ref="P12:Q12"/>
    <mergeCell ref="B7:Q7"/>
    <mergeCell ref="M10:O10"/>
    <mergeCell ref="P10:Q10"/>
    <mergeCell ref="A9:Q9"/>
    <mergeCell ref="B10:L10"/>
    <mergeCell ref="B11:L11"/>
    <mergeCell ref="B12:L12"/>
    <mergeCell ref="G178:H178"/>
    <mergeCell ref="G177:H177"/>
    <mergeCell ref="I159:K159"/>
    <mergeCell ref="J168:K168"/>
    <mergeCell ref="P145:Q145"/>
    <mergeCell ref="M129:N129"/>
    <mergeCell ref="M130:N130"/>
    <mergeCell ref="M131:N131"/>
    <mergeCell ref="M132:N132"/>
    <mergeCell ref="H163:I163"/>
    <mergeCell ref="I160:K160"/>
    <mergeCell ref="J178:K178"/>
    <mergeCell ref="J173:K173"/>
    <mergeCell ref="H164:I164"/>
    <mergeCell ref="I158:K158"/>
    <mergeCell ref="J171:K171"/>
    <mergeCell ref="J172:K172"/>
    <mergeCell ref="J177:K177"/>
    <mergeCell ref="J169:K169"/>
    <mergeCell ref="J170:K170"/>
    <mergeCell ref="A167:K167"/>
    <mergeCell ref="A168:F168"/>
    <mergeCell ref="H168:I168"/>
    <mergeCell ref="A163:F163"/>
  </mergeCells>
  <pageMargins left="0.70866141732283472" right="0.70866141732283472" top="0.74803149606299213" bottom="0.74803149606299213" header="0.31496062992125984" footer="0.31496062992125984"/>
  <pageSetup paperSize="9" scale="51" orientation="portrait" r:id="rId1"/>
  <rowBreaks count="1" manualBreakCount="1">
    <brk id="153" max="1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00000"/>
    <pageSetUpPr fitToPage="1"/>
  </sheetPr>
  <dimension ref="A1:AD27"/>
  <sheetViews>
    <sheetView topLeftCell="A4" zoomScale="75" zoomScaleSheetLayoutView="75" workbookViewId="0">
      <selection activeCell="A8" sqref="A8:H8"/>
    </sheetView>
  </sheetViews>
  <sheetFormatPr defaultColWidth="9.109375" defaultRowHeight="12"/>
  <cols>
    <col min="1" max="1" width="8.33203125" style="2" customWidth="1"/>
    <col min="2" max="2" width="11.5546875" style="5" customWidth="1"/>
    <col min="3" max="3" width="5.109375" style="3" customWidth="1"/>
    <col min="4" max="4" width="9" style="2" customWidth="1"/>
    <col min="5" max="5" width="5.21875" style="3" customWidth="1"/>
    <col min="6" max="6" width="6.44140625" style="2" customWidth="1"/>
    <col min="7" max="7" width="10.88671875" style="2" customWidth="1"/>
    <col min="8" max="8" width="9.109375" style="2" customWidth="1"/>
    <col min="9" max="9" width="9.44140625" style="2" customWidth="1"/>
    <col min="10" max="10" width="14.21875" style="2" customWidth="1"/>
    <col min="11" max="11" width="7.88671875" style="2" customWidth="1"/>
    <col min="12" max="12" width="10.33203125" style="2" customWidth="1"/>
    <col min="13" max="13" width="12.33203125" style="2" customWidth="1"/>
    <col min="14" max="14" width="8.5546875" style="2" customWidth="1"/>
    <col min="15" max="15" width="9" style="2" customWidth="1"/>
    <col min="16" max="16" width="8.88671875" style="2" customWidth="1"/>
    <col min="17" max="17" width="6.5546875" style="2" customWidth="1"/>
    <col min="18" max="18" width="9" style="4" customWidth="1"/>
    <col min="19" max="19" width="7.5546875" style="4" customWidth="1"/>
    <col min="20" max="20" width="10.21875" style="4" customWidth="1"/>
    <col min="21" max="21" width="16" style="2" customWidth="1"/>
    <col min="22" max="22" width="5.109375" style="3" customWidth="1"/>
    <col min="23" max="23" width="13.5546875" style="3" customWidth="1"/>
    <col min="24" max="24" width="3.6640625" style="2" customWidth="1"/>
    <col min="25" max="25" width="13.5546875" style="2" customWidth="1"/>
    <col min="26" max="26" width="4.21875" style="2" customWidth="1"/>
    <col min="27" max="27" width="18.33203125" style="2" customWidth="1"/>
    <col min="28" max="28" width="4.6640625" style="3" customWidth="1"/>
    <col min="29" max="29" width="16.21875" style="2" customWidth="1"/>
    <col min="30" max="16384" width="9.109375" style="2"/>
  </cols>
  <sheetData>
    <row r="1" spans="1:30" ht="18.75" customHeight="1">
      <c r="A1" s="6"/>
      <c r="B1" s="7"/>
      <c r="C1" s="8"/>
      <c r="D1" s="6"/>
      <c r="E1" s="8"/>
      <c r="F1" s="6"/>
      <c r="G1" s="6"/>
      <c r="H1" s="6"/>
      <c r="I1" s="6"/>
      <c r="J1" s="6"/>
      <c r="K1" s="6"/>
      <c r="L1" s="6"/>
      <c r="M1" s="6"/>
      <c r="N1" s="6"/>
      <c r="O1" s="6"/>
      <c r="P1" s="6"/>
      <c r="Q1" s="6"/>
    </row>
    <row r="2" spans="1:30" ht="33.75" customHeight="1">
      <c r="A2" s="883" t="s">
        <v>29</v>
      </c>
      <c r="B2" s="884"/>
      <c r="C2" s="884"/>
      <c r="D2" s="884"/>
      <c r="E2" s="884"/>
      <c r="F2" s="884"/>
      <c r="G2" s="884"/>
      <c r="H2" s="884"/>
      <c r="I2" s="884"/>
      <c r="J2" s="884"/>
      <c r="K2" s="884"/>
      <c r="L2" s="884"/>
      <c r="M2" s="884"/>
      <c r="N2" s="884"/>
      <c r="O2" s="884"/>
      <c r="P2" s="884"/>
      <c r="Q2" s="884"/>
      <c r="R2" s="1"/>
      <c r="S2" s="1"/>
      <c r="T2" s="1"/>
    </row>
    <row r="3" spans="1:30" ht="20.399999999999999">
      <c r="A3" s="138"/>
      <c r="B3" s="178"/>
      <c r="C3" s="178"/>
      <c r="D3" s="178"/>
      <c r="E3" s="178"/>
      <c r="F3" s="178"/>
      <c r="G3" s="178"/>
      <c r="H3" s="178"/>
      <c r="I3" s="178"/>
      <c r="J3" s="178"/>
      <c r="K3" s="178"/>
      <c r="L3" s="178"/>
      <c r="M3" s="178"/>
      <c r="N3" s="178"/>
      <c r="O3" s="178"/>
      <c r="P3" s="178"/>
      <c r="Q3" s="178"/>
      <c r="R3" s="1"/>
      <c r="S3" s="1"/>
      <c r="T3" s="1"/>
    </row>
    <row r="4" spans="1:30" s="16" customFormat="1" ht="51.75" customHeight="1">
      <c r="A4" s="415" t="s">
        <v>553</v>
      </c>
      <c r="B4" s="524" t="str">
        <f>'PLANILHA ORÇAMENTARIA'!C7</f>
        <v>Fornecimento, implantação e operação de conteineres com capc. Para 1000 litros</v>
      </c>
      <c r="C4" s="524"/>
      <c r="D4" s="524"/>
      <c r="E4" s="524"/>
      <c r="F4" s="524"/>
      <c r="G4" s="524"/>
      <c r="H4" s="524"/>
      <c r="I4" s="524"/>
      <c r="J4" s="524"/>
      <c r="K4" s="524"/>
      <c r="L4" s="524"/>
      <c r="M4" s="524"/>
      <c r="N4" s="524"/>
      <c r="O4" s="524"/>
      <c r="P4" s="524"/>
      <c r="Q4" s="524"/>
      <c r="R4" s="18"/>
      <c r="T4" s="17"/>
      <c r="U4" s="17"/>
      <c r="Z4" s="17"/>
    </row>
    <row r="5" spans="1:30" s="15" customFormat="1" ht="13.2">
      <c r="A5" s="171"/>
      <c r="B5" s="173"/>
      <c r="C5" s="172"/>
      <c r="D5" s="171"/>
      <c r="E5" s="172"/>
      <c r="F5" s="171"/>
      <c r="G5" s="171"/>
      <c r="H5" s="171"/>
      <c r="I5" s="171"/>
      <c r="J5" s="171"/>
      <c r="K5" s="171"/>
      <c r="L5" s="171"/>
      <c r="M5" s="171"/>
      <c r="N5" s="171"/>
      <c r="O5" s="171"/>
      <c r="P5" s="171"/>
      <c r="Q5" s="171"/>
      <c r="U5" s="16"/>
      <c r="V5" s="17"/>
      <c r="W5" s="17"/>
      <c r="X5" s="16"/>
      <c r="Y5" s="16"/>
      <c r="Z5" s="16"/>
      <c r="AA5" s="16"/>
      <c r="AB5" s="17"/>
      <c r="AC5" s="16"/>
      <c r="AD5" s="16"/>
    </row>
    <row r="6" spans="1:30" s="51" customFormat="1" ht="24.75" customHeight="1">
      <c r="A6" s="738" t="s">
        <v>638</v>
      </c>
      <c r="B6" s="739"/>
      <c r="C6" s="739"/>
      <c r="D6" s="739"/>
      <c r="E6" s="739"/>
      <c r="F6" s="739"/>
      <c r="G6" s="739"/>
      <c r="H6" s="739"/>
      <c r="I6" s="739"/>
      <c r="J6" s="739"/>
      <c r="K6" s="739"/>
      <c r="L6" s="739"/>
      <c r="M6" s="739"/>
      <c r="N6" s="739"/>
      <c r="O6" s="739"/>
      <c r="P6" s="739"/>
      <c r="Q6" s="739"/>
      <c r="R6" s="72"/>
      <c r="T6" s="64"/>
      <c r="U6" s="64"/>
      <c r="Z6" s="64"/>
    </row>
    <row r="7" spans="1:30" s="15" customFormat="1" ht="13.2">
      <c r="A7" s="14"/>
      <c r="B7" s="131"/>
      <c r="C7" s="132"/>
      <c r="D7" s="14"/>
      <c r="E7" s="132"/>
      <c r="F7" s="14"/>
      <c r="G7" s="14"/>
      <c r="H7" s="14"/>
      <c r="I7" s="14"/>
      <c r="J7" s="14"/>
      <c r="K7" s="14"/>
      <c r="L7" s="14"/>
      <c r="M7" s="14"/>
      <c r="N7" s="14"/>
      <c r="O7" s="14"/>
      <c r="P7" s="14"/>
      <c r="Q7" s="14"/>
      <c r="U7" s="16"/>
      <c r="V7" s="17"/>
      <c r="W7" s="17"/>
      <c r="X7" s="16"/>
      <c r="Y7" s="16"/>
      <c r="Z7" s="16"/>
      <c r="AA7" s="16"/>
      <c r="AB7" s="17"/>
      <c r="AC7" s="16"/>
      <c r="AD7" s="16"/>
    </row>
    <row r="8" spans="1:30" s="200" customFormat="1" ht="31.5" customHeight="1">
      <c r="A8" s="886" t="s">
        <v>330</v>
      </c>
      <c r="B8" s="886"/>
      <c r="C8" s="886"/>
      <c r="D8" s="886"/>
      <c r="E8" s="887" t="s">
        <v>331</v>
      </c>
      <c r="F8" s="887"/>
      <c r="G8" s="887" t="s">
        <v>320</v>
      </c>
      <c r="H8" s="887"/>
      <c r="I8" s="202" t="s">
        <v>328</v>
      </c>
      <c r="J8" s="889" t="s">
        <v>332</v>
      </c>
      <c r="K8" s="889"/>
      <c r="L8" s="881" t="s">
        <v>32</v>
      </c>
      <c r="M8" s="881"/>
      <c r="N8" s="304"/>
      <c r="O8" s="196"/>
      <c r="P8" s="304"/>
      <c r="Q8" s="171"/>
      <c r="U8" s="199"/>
      <c r="V8" s="201"/>
      <c r="W8" s="201"/>
      <c r="X8" s="199"/>
      <c r="Y8" s="199"/>
      <c r="Z8" s="199"/>
      <c r="AA8" s="199"/>
      <c r="AB8" s="201"/>
      <c r="AC8" s="199"/>
      <c r="AD8" s="199"/>
    </row>
    <row r="9" spans="1:30" s="200" customFormat="1" ht="15.6">
      <c r="A9" s="885" t="s">
        <v>334</v>
      </c>
      <c r="B9" s="885"/>
      <c r="C9" s="885"/>
      <c r="D9" s="885"/>
      <c r="E9" s="885" t="s">
        <v>333</v>
      </c>
      <c r="F9" s="885"/>
      <c r="G9" s="888">
        <f>'BANCO DE DADOS'!E122</f>
        <v>1845.98</v>
      </c>
      <c r="H9" s="888"/>
      <c r="I9" s="203">
        <v>40</v>
      </c>
      <c r="J9" s="885">
        <v>12</v>
      </c>
      <c r="K9" s="885"/>
      <c r="L9" s="882">
        <f>ROUND((G9*I9)/J9,2)</f>
        <v>6153.27</v>
      </c>
      <c r="M9" s="882"/>
      <c r="N9" s="13"/>
      <c r="O9" s="196"/>
      <c r="P9" s="305"/>
      <c r="Q9" s="171"/>
      <c r="U9" s="199"/>
      <c r="V9" s="201"/>
      <c r="W9" s="201"/>
      <c r="X9" s="199"/>
      <c r="Y9" s="199"/>
      <c r="Z9" s="199"/>
      <c r="AA9" s="199"/>
      <c r="AB9" s="201"/>
      <c r="AC9" s="199"/>
      <c r="AD9" s="199"/>
    </row>
    <row r="10" spans="1:30" s="200" customFormat="1" ht="18">
      <c r="A10" s="683" t="s">
        <v>637</v>
      </c>
      <c r="B10" s="683"/>
      <c r="C10" s="683"/>
      <c r="D10" s="683"/>
      <c r="E10" s="683"/>
      <c r="F10" s="683"/>
      <c r="G10" s="683"/>
      <c r="H10" s="683"/>
      <c r="I10" s="683"/>
      <c r="J10" s="683"/>
      <c r="K10" s="657">
        <f>SUM(L9:M9)</f>
        <v>6153.27</v>
      </c>
      <c r="L10" s="657"/>
      <c r="M10" s="657"/>
      <c r="N10" s="171"/>
      <c r="O10" s="171"/>
      <c r="P10" s="171"/>
      <c r="Q10" s="171"/>
      <c r="U10" s="199"/>
      <c r="V10" s="201"/>
      <c r="W10" s="201"/>
      <c r="X10" s="199"/>
      <c r="Y10" s="199"/>
      <c r="Z10" s="199"/>
      <c r="AA10" s="199"/>
      <c r="AB10" s="201"/>
      <c r="AC10" s="199"/>
      <c r="AD10" s="199"/>
    </row>
    <row r="11" spans="1:30" s="200" customFormat="1" ht="30.75" customHeight="1">
      <c r="K11" s="171"/>
      <c r="L11" s="196"/>
      <c r="M11" s="196"/>
      <c r="N11" s="171"/>
      <c r="O11" s="171"/>
      <c r="P11" s="171"/>
      <c r="Q11" s="171"/>
      <c r="U11" s="199"/>
      <c r="V11" s="201"/>
      <c r="W11" s="201"/>
      <c r="X11" s="199"/>
      <c r="Y11" s="199"/>
      <c r="Z11" s="199"/>
      <c r="AA11" s="199"/>
      <c r="AB11" s="201"/>
      <c r="AC11" s="199"/>
      <c r="AD11" s="199"/>
    </row>
    <row r="12" spans="1:30" s="200" customFormat="1" ht="18">
      <c r="A12" s="683" t="s">
        <v>470</v>
      </c>
      <c r="B12" s="683"/>
      <c r="C12" s="683"/>
      <c r="D12" s="683"/>
      <c r="E12" s="683"/>
      <c r="F12" s="683"/>
      <c r="G12" s="683"/>
      <c r="H12" s="683"/>
      <c r="I12" s="683"/>
      <c r="J12" s="683"/>
      <c r="K12" s="657">
        <v>3000</v>
      </c>
      <c r="L12" s="657"/>
      <c r="M12" s="657">
        <v>3000</v>
      </c>
      <c r="N12" s="171"/>
      <c r="O12" s="171"/>
      <c r="P12" s="171"/>
      <c r="Q12" s="171"/>
      <c r="U12" s="199"/>
      <c r="V12" s="201"/>
      <c r="W12" s="201"/>
      <c r="X12" s="199"/>
      <c r="Y12" s="199"/>
      <c r="Z12" s="199"/>
      <c r="AA12" s="199"/>
      <c r="AB12" s="201"/>
      <c r="AC12" s="199"/>
      <c r="AD12" s="199"/>
    </row>
    <row r="13" spans="1:30" s="200" customFormat="1" ht="13.8">
      <c r="B13" s="302"/>
      <c r="C13" s="303"/>
      <c r="D13" s="303"/>
      <c r="E13" s="303"/>
      <c r="F13" s="303"/>
      <c r="G13" s="171"/>
      <c r="H13" s="171"/>
      <c r="I13" s="171"/>
      <c r="J13" s="171"/>
      <c r="K13" s="171"/>
      <c r="L13" s="171"/>
      <c r="M13" s="171"/>
      <c r="N13" s="171"/>
      <c r="O13" s="171"/>
      <c r="P13" s="171"/>
      <c r="Q13" s="171"/>
      <c r="U13" s="199"/>
      <c r="V13" s="201"/>
      <c r="W13" s="201"/>
      <c r="X13" s="199"/>
      <c r="Y13" s="199"/>
      <c r="Z13" s="199"/>
      <c r="AA13" s="199"/>
      <c r="AB13" s="201"/>
      <c r="AC13" s="199"/>
      <c r="AD13" s="199"/>
    </row>
    <row r="14" spans="1:30" s="200" customFormat="1" ht="13.8">
      <c r="A14" s="134"/>
      <c r="B14" s="302"/>
      <c r="C14" s="303"/>
      <c r="D14" s="303"/>
      <c r="E14" s="303"/>
      <c r="F14" s="303"/>
      <c r="G14" s="171"/>
      <c r="H14" s="171"/>
      <c r="I14" s="171"/>
      <c r="J14" s="171"/>
      <c r="K14" s="171"/>
      <c r="L14" s="171"/>
      <c r="M14" s="171"/>
      <c r="N14" s="171"/>
      <c r="O14" s="171"/>
      <c r="P14" s="171"/>
      <c r="Q14" s="171"/>
      <c r="U14" s="199"/>
      <c r="V14" s="201"/>
      <c r="W14" s="201"/>
      <c r="X14" s="199"/>
      <c r="Y14" s="199"/>
      <c r="Z14" s="199"/>
      <c r="AA14" s="199"/>
      <c r="AB14" s="201"/>
      <c r="AC14" s="199"/>
      <c r="AD14" s="199"/>
    </row>
    <row r="15" spans="1:30" s="200" customFormat="1" ht="13.8">
      <c r="A15" s="134"/>
      <c r="B15" s="302"/>
      <c r="C15" s="303"/>
      <c r="D15" s="303"/>
      <c r="E15" s="303"/>
      <c r="F15" s="303"/>
      <c r="G15" s="171"/>
      <c r="H15" s="171"/>
      <c r="I15" s="171"/>
      <c r="J15" s="171"/>
      <c r="K15" s="171"/>
      <c r="L15" s="171"/>
      <c r="M15" s="171"/>
      <c r="N15" s="171"/>
      <c r="O15" s="171"/>
      <c r="P15" s="171"/>
      <c r="Q15" s="171"/>
      <c r="U15" s="199"/>
      <c r="V15" s="201"/>
      <c r="W15" s="201"/>
      <c r="X15" s="199"/>
      <c r="Y15" s="199"/>
      <c r="Z15" s="199"/>
      <c r="AA15" s="199"/>
      <c r="AB15" s="201"/>
      <c r="AC15" s="199"/>
      <c r="AD15" s="199"/>
    </row>
    <row r="16" spans="1:30" s="16" customFormat="1" ht="16.5" customHeight="1">
      <c r="A16" s="378" t="s">
        <v>546</v>
      </c>
      <c r="B16" s="546" t="str">
        <f>A6</f>
        <v>CUSTO CONTAINERES DE PEAD CAPACIDADE DE 1000 LITROS</v>
      </c>
      <c r="C16" s="547"/>
      <c r="D16" s="547"/>
      <c r="E16" s="547"/>
      <c r="F16" s="547"/>
      <c r="G16" s="547"/>
      <c r="H16" s="547"/>
      <c r="I16" s="547"/>
      <c r="J16" s="547"/>
      <c r="K16" s="547"/>
      <c r="L16" s="548"/>
      <c r="M16" s="512">
        <f>K10</f>
        <v>6153.27</v>
      </c>
      <c r="N16" s="513"/>
      <c r="O16" s="514"/>
      <c r="P16" s="515">
        <f>M16/$M$18</f>
        <v>0.67224827848408275</v>
      </c>
      <c r="Q16" s="515"/>
    </row>
    <row r="17" spans="1:30" s="16" customFormat="1" ht="16.5" customHeight="1">
      <c r="A17" s="378" t="s">
        <v>552</v>
      </c>
      <c r="B17" s="546" t="str">
        <f>A12</f>
        <v>Custo com limpeza e higienização - verba mensal:</v>
      </c>
      <c r="C17" s="547"/>
      <c r="D17" s="547"/>
      <c r="E17" s="547"/>
      <c r="F17" s="547"/>
      <c r="G17" s="547"/>
      <c r="H17" s="547"/>
      <c r="I17" s="547"/>
      <c r="J17" s="547"/>
      <c r="K17" s="547"/>
      <c r="L17" s="548"/>
      <c r="M17" s="512">
        <f>K12</f>
        <v>3000</v>
      </c>
      <c r="N17" s="513"/>
      <c r="O17" s="514"/>
      <c r="P17" s="515">
        <f>M17/$M$18</f>
        <v>0.32775172151591725</v>
      </c>
      <c r="Q17" s="515"/>
    </row>
    <row r="18" spans="1:30" s="16" customFormat="1" ht="18">
      <c r="A18" s="414" t="s">
        <v>626</v>
      </c>
      <c r="B18" s="414"/>
      <c r="C18" s="414"/>
      <c r="D18" s="414"/>
      <c r="E18" s="414"/>
      <c r="F18" s="414"/>
      <c r="G18" s="414"/>
      <c r="H18" s="414"/>
      <c r="I18" s="414"/>
      <c r="J18" s="414"/>
      <c r="K18" s="414"/>
      <c r="L18" s="416"/>
      <c r="M18" s="535">
        <f>SUM(M16:O17)</f>
        <v>9153.27</v>
      </c>
      <c r="N18" s="536"/>
      <c r="O18" s="537"/>
      <c r="P18" s="538">
        <v>1</v>
      </c>
      <c r="Q18" s="538"/>
    </row>
    <row r="19" spans="1:30" s="15" customFormat="1" ht="13.8" thickBot="1">
      <c r="A19" s="14"/>
      <c r="B19" s="131"/>
      <c r="C19" s="132"/>
      <c r="D19" s="14"/>
      <c r="E19" s="132"/>
      <c r="F19" s="14"/>
      <c r="G19" s="14"/>
      <c r="H19" s="14"/>
      <c r="I19" s="14"/>
      <c r="J19" s="14"/>
      <c r="K19" s="14"/>
      <c r="L19" s="14"/>
      <c r="M19" s="14"/>
      <c r="N19" s="14"/>
      <c r="O19" s="14"/>
      <c r="P19" s="14"/>
      <c r="Q19" s="14"/>
      <c r="U19" s="16"/>
      <c r="V19" s="17"/>
      <c r="W19" s="17"/>
      <c r="X19" s="16"/>
      <c r="Y19" s="16"/>
      <c r="Z19" s="16"/>
      <c r="AA19" s="16"/>
      <c r="AB19" s="17"/>
      <c r="AC19" s="16"/>
      <c r="AD19" s="16"/>
    </row>
    <row r="20" spans="1:30" s="15" customFormat="1" ht="18">
      <c r="A20" s="604" t="s">
        <v>49</v>
      </c>
      <c r="B20" s="605"/>
      <c r="C20" s="605"/>
      <c r="D20" s="605"/>
      <c r="E20" s="605"/>
      <c r="F20" s="605"/>
      <c r="G20" s="605"/>
      <c r="H20" s="605"/>
      <c r="I20" s="605"/>
      <c r="J20" s="605"/>
      <c r="K20" s="605"/>
      <c r="L20" s="605"/>
      <c r="M20" s="605"/>
      <c r="N20" s="605"/>
      <c r="O20" s="606">
        <f>M18</f>
        <v>9153.27</v>
      </c>
      <c r="P20" s="606"/>
      <c r="Q20" s="607"/>
      <c r="U20" s="16"/>
      <c r="V20" s="17"/>
      <c r="W20" s="17"/>
      <c r="X20" s="16"/>
      <c r="Y20" s="16"/>
      <c r="Z20" s="16"/>
      <c r="AA20" s="16"/>
      <c r="AB20" s="17"/>
      <c r="AC20" s="16"/>
      <c r="AD20" s="16"/>
    </row>
    <row r="21" spans="1:30" s="15" customFormat="1" ht="18">
      <c r="A21" s="608" t="s">
        <v>7</v>
      </c>
      <c r="B21" s="609"/>
      <c r="C21" s="609"/>
      <c r="D21" s="609"/>
      <c r="E21" s="609"/>
      <c r="F21" s="609"/>
      <c r="G21" s="609"/>
      <c r="H21" s="609"/>
      <c r="I21" s="609"/>
      <c r="J21" s="609"/>
      <c r="K21" s="609"/>
      <c r="L21" s="609"/>
      <c r="M21" s="610">
        <f>BDI!D21</f>
        <v>0.29432432362637373</v>
      </c>
      <c r="N21" s="809"/>
      <c r="O21" s="611">
        <f>O20*1.2943</f>
        <v>11847.077361000001</v>
      </c>
      <c r="P21" s="611"/>
      <c r="Q21" s="612"/>
      <c r="U21" s="16"/>
      <c r="V21" s="17"/>
      <c r="W21" s="17"/>
      <c r="X21" s="16"/>
      <c r="Y21" s="16"/>
      <c r="Z21" s="16"/>
      <c r="AA21" s="16"/>
      <c r="AB21" s="17"/>
      <c r="AC21" s="16"/>
      <c r="AD21" s="16"/>
    </row>
    <row r="22" spans="1:30" s="15" customFormat="1" ht="18">
      <c r="A22" s="608" t="s">
        <v>50</v>
      </c>
      <c r="B22" s="609"/>
      <c r="C22" s="609"/>
      <c r="D22" s="609"/>
      <c r="E22" s="609"/>
      <c r="F22" s="609"/>
      <c r="G22" s="609"/>
      <c r="H22" s="609"/>
      <c r="I22" s="609"/>
      <c r="J22" s="609"/>
      <c r="K22" s="609"/>
      <c r="L22" s="609"/>
      <c r="M22" s="609"/>
      <c r="N22" s="609"/>
      <c r="O22" s="611">
        <v>40</v>
      </c>
      <c r="P22" s="611"/>
      <c r="Q22" s="612"/>
      <c r="U22" s="16"/>
      <c r="V22" s="17"/>
      <c r="W22" s="17"/>
      <c r="X22" s="16"/>
      <c r="Y22" s="16"/>
      <c r="Z22" s="16"/>
      <c r="AA22" s="16"/>
      <c r="AB22" s="17"/>
      <c r="AC22" s="16"/>
      <c r="AD22" s="16"/>
    </row>
    <row r="23" spans="1:30" s="15" customFormat="1" ht="18" customHeight="1" thickBot="1">
      <c r="A23" s="892" t="s">
        <v>51</v>
      </c>
      <c r="B23" s="893"/>
      <c r="C23" s="893"/>
      <c r="D23" s="893"/>
      <c r="E23" s="893"/>
      <c r="F23" s="893"/>
      <c r="G23" s="893"/>
      <c r="H23" s="893"/>
      <c r="I23" s="893"/>
      <c r="J23" s="893"/>
      <c r="K23" s="893"/>
      <c r="L23" s="893"/>
      <c r="M23" s="893"/>
      <c r="N23" s="893"/>
      <c r="O23" s="890">
        <f>O21/O22</f>
        <v>296.17693402500004</v>
      </c>
      <c r="P23" s="890"/>
      <c r="Q23" s="891"/>
      <c r="U23" s="16"/>
      <c r="V23" s="17"/>
      <c r="W23" s="17"/>
      <c r="X23" s="16"/>
      <c r="Y23" s="16"/>
      <c r="Z23" s="16"/>
      <c r="AA23" s="16"/>
      <c r="AB23" s="17"/>
      <c r="AC23" s="16"/>
      <c r="AD23" s="16"/>
    </row>
    <row r="24" spans="1:30" s="15" customFormat="1" ht="13.2">
      <c r="A24" s="14"/>
      <c r="B24" s="131"/>
      <c r="C24" s="132"/>
      <c r="D24" s="14"/>
      <c r="E24" s="132"/>
      <c r="F24" s="14"/>
      <c r="G24" s="14"/>
      <c r="H24" s="14"/>
      <c r="I24" s="14"/>
      <c r="J24" s="14"/>
      <c r="K24" s="14"/>
      <c r="L24" s="14"/>
      <c r="M24" s="14"/>
      <c r="N24" s="14"/>
      <c r="O24" s="14"/>
      <c r="P24" s="14"/>
      <c r="Q24" s="14"/>
      <c r="U24" s="16"/>
      <c r="V24" s="17"/>
      <c r="W24" s="17"/>
      <c r="X24" s="16"/>
      <c r="Y24" s="16"/>
      <c r="Z24" s="16"/>
      <c r="AA24" s="16"/>
      <c r="AB24" s="17"/>
      <c r="AC24" s="16"/>
      <c r="AD24" s="16"/>
    </row>
    <row r="25" spans="1:30" s="16" customFormat="1" ht="15.6">
      <c r="B25" s="21"/>
      <c r="C25" s="17"/>
      <c r="E25" s="17"/>
      <c r="G25" s="880"/>
      <c r="H25" s="880"/>
      <c r="R25" s="15"/>
      <c r="S25" s="15"/>
      <c r="T25" s="15"/>
      <c r="V25" s="17"/>
      <c r="W25" s="17"/>
      <c r="AB25" s="17"/>
    </row>
    <row r="26" spans="1:30" s="16" customFormat="1" ht="13.2">
      <c r="B26" s="21"/>
      <c r="C26" s="17"/>
      <c r="E26" s="17"/>
      <c r="R26" s="15"/>
      <c r="S26" s="15"/>
      <c r="T26" s="15"/>
      <c r="V26" s="17"/>
      <c r="W26" s="17"/>
      <c r="AB26" s="17"/>
    </row>
    <row r="27" spans="1:30" s="16" customFormat="1" ht="13.2">
      <c r="B27" s="21"/>
      <c r="C27" s="17"/>
      <c r="E27" s="17"/>
      <c r="R27" s="15"/>
      <c r="S27" s="15"/>
      <c r="T27" s="15"/>
      <c r="V27" s="17"/>
      <c r="W27" s="17"/>
      <c r="AB27" s="17"/>
    </row>
  </sheetData>
  <mergeCells count="35">
    <mergeCell ref="P18:Q18"/>
    <mergeCell ref="O20:Q20"/>
    <mergeCell ref="O21:Q21"/>
    <mergeCell ref="O22:Q22"/>
    <mergeCell ref="P16:Q16"/>
    <mergeCell ref="J8:K8"/>
    <mergeCell ref="A9:D9"/>
    <mergeCell ref="B17:L17"/>
    <mergeCell ref="M17:O17"/>
    <mergeCell ref="P17:Q17"/>
    <mergeCell ref="A2:Q2"/>
    <mergeCell ref="E9:F9"/>
    <mergeCell ref="J9:K9"/>
    <mergeCell ref="A8:D8"/>
    <mergeCell ref="G8:H8"/>
    <mergeCell ref="G9:H9"/>
    <mergeCell ref="B4:Q4"/>
    <mergeCell ref="A6:Q6"/>
    <mergeCell ref="E8:F8"/>
    <mergeCell ref="G25:H25"/>
    <mergeCell ref="K10:M10"/>
    <mergeCell ref="L8:M8"/>
    <mergeCell ref="L9:M9"/>
    <mergeCell ref="A10:J10"/>
    <mergeCell ref="A12:J12"/>
    <mergeCell ref="K12:M12"/>
    <mergeCell ref="B16:L16"/>
    <mergeCell ref="M16:O16"/>
    <mergeCell ref="O23:Q23"/>
    <mergeCell ref="A20:N20"/>
    <mergeCell ref="A21:L21"/>
    <mergeCell ref="A22:N22"/>
    <mergeCell ref="A23:N23"/>
    <mergeCell ref="M21:N21"/>
    <mergeCell ref="M18:O18"/>
  </mergeCells>
  <printOptions horizontalCentered="1"/>
  <pageMargins left="0.39370078740157483" right="0" top="0.78740157480314965" bottom="0.78740157480314965" header="0.31496062992125984" footer="0.31496062992125984"/>
  <pageSetup paperSize="9" scale="65" orientation="portrait" r:id="rId1"/>
  <colBreaks count="2" manualBreakCount="2">
    <brk id="17" max="71" man="1"/>
    <brk id="19" max="69"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40"/>
  <sheetViews>
    <sheetView workbookViewId="0">
      <selection sqref="A1:C40"/>
    </sheetView>
  </sheetViews>
  <sheetFormatPr defaultColWidth="9.109375" defaultRowHeight="13.8"/>
  <cols>
    <col min="1" max="1" width="9.109375" style="205"/>
    <col min="2" max="2" width="68.44140625" style="205" customWidth="1"/>
    <col min="3" max="3" width="10.77734375" style="205" customWidth="1"/>
    <col min="4" max="16384" width="9.109375" style="205"/>
  </cols>
  <sheetData>
    <row r="1" spans="1:3" ht="23.25" customHeight="1">
      <c r="A1" s="894" t="s">
        <v>78</v>
      </c>
      <c r="B1" s="894"/>
      <c r="C1" s="894"/>
    </row>
    <row r="2" spans="1:3" ht="9" customHeight="1" thickBot="1">
      <c r="B2" s="206"/>
    </row>
    <row r="3" spans="1:3" ht="17.25" customHeight="1" thickBot="1">
      <c r="A3" s="898" t="s">
        <v>79</v>
      </c>
      <c r="B3" s="899"/>
      <c r="C3" s="900"/>
    </row>
    <row r="4" spans="1:3" ht="14.4">
      <c r="A4" s="224"/>
      <c r="B4" s="225"/>
      <c r="C4" s="226"/>
    </row>
    <row r="5" spans="1:3" ht="14.4">
      <c r="A5" s="227" t="s">
        <v>80</v>
      </c>
      <c r="B5" s="228" t="s">
        <v>81</v>
      </c>
      <c r="C5" s="229" t="s">
        <v>82</v>
      </c>
    </row>
    <row r="6" spans="1:3" ht="14.4">
      <c r="A6" s="230"/>
      <c r="B6" s="231"/>
      <c r="C6" s="232"/>
    </row>
    <row r="7" spans="1:3" ht="14.4">
      <c r="A7" s="895" t="s">
        <v>83</v>
      </c>
      <c r="B7" s="896"/>
      <c r="C7" s="232"/>
    </row>
    <row r="8" spans="1:3" ht="14.4">
      <c r="A8" s="230" t="s">
        <v>84</v>
      </c>
      <c r="B8" s="231" t="s">
        <v>85</v>
      </c>
      <c r="C8" s="233">
        <v>0.2</v>
      </c>
    </row>
    <row r="9" spans="1:3" ht="14.4">
      <c r="A9" s="230" t="s">
        <v>86</v>
      </c>
      <c r="B9" s="231" t="s">
        <v>87</v>
      </c>
      <c r="C9" s="233">
        <v>1.4999999999999999E-2</v>
      </c>
    </row>
    <row r="10" spans="1:3" ht="14.4">
      <c r="A10" s="230" t="s">
        <v>88</v>
      </c>
      <c r="B10" s="231" t="s">
        <v>89</v>
      </c>
      <c r="C10" s="233">
        <v>0.01</v>
      </c>
    </row>
    <row r="11" spans="1:3" ht="14.4">
      <c r="A11" s="230" t="s">
        <v>90</v>
      </c>
      <c r="B11" s="231" t="s">
        <v>91</v>
      </c>
      <c r="C11" s="233">
        <v>2E-3</v>
      </c>
    </row>
    <row r="12" spans="1:3" ht="14.4">
      <c r="A12" s="230" t="s">
        <v>92</v>
      </c>
      <c r="B12" s="231" t="s">
        <v>93</v>
      </c>
      <c r="C12" s="233">
        <v>6.0000000000000001E-3</v>
      </c>
    </row>
    <row r="13" spans="1:3" ht="14.4">
      <c r="A13" s="230" t="s">
        <v>94</v>
      </c>
      <c r="B13" s="231" t="s">
        <v>95</v>
      </c>
      <c r="C13" s="233">
        <v>2.5000000000000001E-2</v>
      </c>
    </row>
    <row r="14" spans="1:3" ht="14.4">
      <c r="A14" s="230" t="s">
        <v>96</v>
      </c>
      <c r="B14" s="231" t="s">
        <v>97</v>
      </c>
      <c r="C14" s="233">
        <v>0.06</v>
      </c>
    </row>
    <row r="15" spans="1:3" ht="14.4">
      <c r="A15" s="230" t="s">
        <v>98</v>
      </c>
      <c r="B15" s="231" t="s">
        <v>99</v>
      </c>
      <c r="C15" s="233">
        <v>0.08</v>
      </c>
    </row>
    <row r="16" spans="1:3" ht="14.4">
      <c r="A16" s="230" t="s">
        <v>100</v>
      </c>
      <c r="B16" s="231" t="s">
        <v>101</v>
      </c>
      <c r="C16" s="233">
        <v>0.01</v>
      </c>
    </row>
    <row r="17" spans="1:3" ht="14.4">
      <c r="A17" s="230"/>
      <c r="B17" s="234" t="s">
        <v>102</v>
      </c>
      <c r="C17" s="235">
        <f>SUM(C8:C16)</f>
        <v>0.40800000000000008</v>
      </c>
    </row>
    <row r="18" spans="1:3" ht="14.4">
      <c r="A18" s="901"/>
      <c r="B18" s="902"/>
      <c r="C18" s="903"/>
    </row>
    <row r="19" spans="1:3" ht="15" customHeight="1">
      <c r="A19" s="895" t="s">
        <v>103</v>
      </c>
      <c r="B19" s="896"/>
      <c r="C19" s="233"/>
    </row>
    <row r="20" spans="1:3" ht="14.4">
      <c r="A20" s="230" t="s">
        <v>104</v>
      </c>
      <c r="B20" s="231" t="s">
        <v>105</v>
      </c>
      <c r="C20" s="233">
        <v>0</v>
      </c>
    </row>
    <row r="21" spans="1:3" ht="14.4">
      <c r="A21" s="230" t="s">
        <v>106</v>
      </c>
      <c r="B21" s="231" t="s">
        <v>107</v>
      </c>
      <c r="C21" s="233">
        <v>0</v>
      </c>
    </row>
    <row r="22" spans="1:3" ht="14.4">
      <c r="A22" s="230" t="s">
        <v>108</v>
      </c>
      <c r="B22" s="231" t="s">
        <v>109</v>
      </c>
      <c r="C22" s="233">
        <v>0.10199999999999999</v>
      </c>
    </row>
    <row r="23" spans="1:3" ht="14.4">
      <c r="A23" s="230" t="s">
        <v>110</v>
      </c>
      <c r="B23" s="231" t="s">
        <v>111</v>
      </c>
      <c r="C23" s="233">
        <v>6.1999999999999998E-3</v>
      </c>
    </row>
    <row r="24" spans="1:3" ht="14.4">
      <c r="A24" s="230" t="s">
        <v>112</v>
      </c>
      <c r="B24" s="231" t="s">
        <v>113</v>
      </c>
      <c r="C24" s="233">
        <v>8.2199999999999995E-2</v>
      </c>
    </row>
    <row r="25" spans="1:3" ht="14.4">
      <c r="A25" s="230" t="s">
        <v>114</v>
      </c>
      <c r="B25" s="231" t="s">
        <v>115</v>
      </c>
      <c r="C25" s="233">
        <v>5.0000000000000001E-4</v>
      </c>
    </row>
    <row r="26" spans="1:3" ht="14.4">
      <c r="A26" s="230" t="s">
        <v>116</v>
      </c>
      <c r="B26" s="231" t="s">
        <v>117</v>
      </c>
      <c r="C26" s="233">
        <v>1.34E-2</v>
      </c>
    </row>
    <row r="27" spans="1:3" ht="14.4">
      <c r="A27" s="230"/>
      <c r="B27" s="234" t="s">
        <v>118</v>
      </c>
      <c r="C27" s="235">
        <f>SUM(C20:C26)</f>
        <v>0.20429999999999998</v>
      </c>
    </row>
    <row r="28" spans="1:3" ht="14.4">
      <c r="A28" s="901"/>
      <c r="B28" s="902"/>
      <c r="C28" s="903"/>
    </row>
    <row r="29" spans="1:3" ht="14.4">
      <c r="A29" s="895" t="s">
        <v>119</v>
      </c>
      <c r="B29" s="896"/>
      <c r="C29" s="897"/>
    </row>
    <row r="30" spans="1:3" ht="14.4">
      <c r="A30" s="230" t="s">
        <v>120</v>
      </c>
      <c r="B30" s="231" t="s">
        <v>121</v>
      </c>
      <c r="C30" s="233">
        <v>4.8300000000000003E-2</v>
      </c>
    </row>
    <row r="31" spans="1:3" ht="14.4">
      <c r="A31" s="230" t="s">
        <v>122</v>
      </c>
      <c r="B31" s="231" t="s">
        <v>123</v>
      </c>
      <c r="C31" s="233">
        <v>0.1096</v>
      </c>
    </row>
    <row r="32" spans="1:3" ht="14.4">
      <c r="A32" s="230"/>
      <c r="B32" s="234" t="s">
        <v>124</v>
      </c>
      <c r="C32" s="235">
        <f>SUM(C30:C31)</f>
        <v>0.15790000000000001</v>
      </c>
    </row>
    <row r="33" spans="1:3" ht="14.4">
      <c r="A33" s="230"/>
      <c r="B33" s="231"/>
      <c r="C33" s="233"/>
    </row>
    <row r="34" spans="1:3" ht="14.4">
      <c r="A34" s="895" t="s">
        <v>125</v>
      </c>
      <c r="B34" s="896"/>
      <c r="C34" s="897">
        <v>0.2</v>
      </c>
    </row>
    <row r="35" spans="1:3" ht="14.4">
      <c r="A35" s="230"/>
      <c r="B35" s="231"/>
      <c r="C35" s="233"/>
    </row>
    <row r="36" spans="1:3" ht="14.4">
      <c r="A36" s="230" t="s">
        <v>126</v>
      </c>
      <c r="B36" s="231" t="s">
        <v>127</v>
      </c>
      <c r="C36" s="233">
        <f>C17*C27</f>
        <v>8.3354400000000009E-2</v>
      </c>
    </row>
    <row r="37" spans="1:3" ht="14.4">
      <c r="A37" s="230"/>
      <c r="B37" s="231"/>
      <c r="C37" s="233"/>
    </row>
    <row r="38" spans="1:3" ht="14.4">
      <c r="A38" s="230"/>
      <c r="B38" s="234" t="s">
        <v>128</v>
      </c>
      <c r="C38" s="235">
        <f>C36</f>
        <v>8.3354400000000009E-2</v>
      </c>
    </row>
    <row r="39" spans="1:3" ht="14.4">
      <c r="A39" s="230"/>
      <c r="B39" s="231"/>
      <c r="C39" s="233"/>
    </row>
    <row r="40" spans="1:3" ht="15" thickBot="1">
      <c r="A40" s="236"/>
      <c r="B40" s="237" t="s">
        <v>129</v>
      </c>
      <c r="C40" s="238">
        <f>C38+C32+C27+C17</f>
        <v>0.85355440000000016</v>
      </c>
    </row>
  </sheetData>
  <mergeCells count="8">
    <mergeCell ref="A1:C1"/>
    <mergeCell ref="A34:C34"/>
    <mergeCell ref="A3:C3"/>
    <mergeCell ref="A7:B7"/>
    <mergeCell ref="A18:C18"/>
    <mergeCell ref="A19:B19"/>
    <mergeCell ref="A28:C28"/>
    <mergeCell ref="A29:C29"/>
  </mergeCell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24"/>
  <sheetViews>
    <sheetView workbookViewId="0">
      <selection activeCell="H9" sqref="H9"/>
    </sheetView>
  </sheetViews>
  <sheetFormatPr defaultColWidth="9.109375" defaultRowHeight="13.8"/>
  <cols>
    <col min="1" max="1" width="5.109375" style="211" customWidth="1"/>
    <col min="2" max="2" width="12" style="211" customWidth="1"/>
    <col min="3" max="3" width="7.5546875" style="211" customWidth="1"/>
    <col min="4" max="7" width="9.109375" style="211"/>
    <col min="8" max="8" width="10.33203125" style="211" customWidth="1"/>
    <col min="9" max="9" width="8.88671875" style="211" customWidth="1"/>
    <col min="10" max="10" width="10.21875" style="211" customWidth="1"/>
    <col min="11" max="11" width="6.21875" style="211" customWidth="1"/>
    <col min="12" max="12" width="3.77734375" style="211" customWidth="1"/>
    <col min="13" max="13" width="9.109375" style="211"/>
    <col min="14" max="14" width="3" style="211" customWidth="1"/>
    <col min="15" max="16384" width="9.109375" style="211"/>
  </cols>
  <sheetData>
    <row r="1" spans="1:21">
      <c r="A1" s="207"/>
      <c r="B1" s="208"/>
      <c r="C1" s="208"/>
      <c r="D1" s="208"/>
      <c r="E1" s="208"/>
      <c r="F1" s="208"/>
      <c r="G1" s="208"/>
      <c r="H1" s="208"/>
      <c r="I1" s="208"/>
      <c r="J1" s="209"/>
      <c r="K1" s="208"/>
      <c r="L1" s="208"/>
      <c r="M1" s="208"/>
      <c r="N1" s="210"/>
      <c r="R1" s="210"/>
    </row>
    <row r="2" spans="1:21" ht="28.5" customHeight="1">
      <c r="A2" s="904" t="s">
        <v>220</v>
      </c>
      <c r="B2" s="905"/>
      <c r="C2" s="905"/>
      <c r="D2" s="905"/>
      <c r="E2" s="905"/>
      <c r="F2" s="905"/>
      <c r="G2" s="905"/>
      <c r="H2" s="905"/>
      <c r="I2" s="905"/>
      <c r="J2" s="906"/>
      <c r="K2" s="212"/>
      <c r="L2" s="212"/>
      <c r="M2" s="212"/>
      <c r="N2" s="210"/>
    </row>
    <row r="3" spans="1:21" ht="14.4" thickBot="1">
      <c r="A3" s="213"/>
      <c r="B3" s="214"/>
      <c r="C3" s="214"/>
      <c r="D3" s="214"/>
      <c r="E3" s="214"/>
      <c r="F3" s="214"/>
      <c r="G3" s="214"/>
      <c r="H3" s="214"/>
      <c r="I3" s="214"/>
      <c r="J3" s="215"/>
      <c r="K3" s="214"/>
      <c r="L3" s="214"/>
      <c r="M3" s="214"/>
      <c r="N3" s="210"/>
    </row>
    <row r="4" spans="1:21" ht="15" customHeight="1" thickBot="1">
      <c r="A4" s="213" t="s">
        <v>221</v>
      </c>
      <c r="B4" s="214" t="s">
        <v>218</v>
      </c>
      <c r="C4" s="214"/>
      <c r="D4" s="214"/>
      <c r="E4" s="214"/>
      <c r="F4" s="214"/>
      <c r="G4" s="216">
        <v>4.5999999999999999E-2</v>
      </c>
      <c r="H4" s="214"/>
      <c r="I4" s="214"/>
      <c r="J4" s="215"/>
      <c r="K4" s="214"/>
      <c r="L4" s="214"/>
      <c r="M4" s="214"/>
      <c r="N4" s="210"/>
    </row>
    <row r="5" spans="1:21" ht="14.4" thickBot="1">
      <c r="A5" s="213"/>
      <c r="B5" s="214"/>
      <c r="C5" s="214"/>
      <c r="D5" s="214"/>
      <c r="E5" s="214"/>
      <c r="F5" s="214"/>
      <c r="G5" s="214"/>
      <c r="H5" s="214"/>
      <c r="I5" s="214"/>
      <c r="J5" s="215"/>
      <c r="K5" s="214"/>
      <c r="L5" s="214"/>
      <c r="M5" s="214"/>
      <c r="N5" s="210"/>
      <c r="O5" s="907" t="s">
        <v>223</v>
      </c>
      <c r="P5" s="907"/>
      <c r="Q5" s="907"/>
      <c r="R5" s="907"/>
      <c r="S5" s="907"/>
      <c r="T5" s="908">
        <f>1+G4+G6+G8</f>
        <v>1.0665</v>
      </c>
      <c r="U5" s="908"/>
    </row>
    <row r="6" spans="1:21" ht="14.4" thickBot="1">
      <c r="A6" s="213" t="s">
        <v>222</v>
      </c>
      <c r="B6" s="214" t="s">
        <v>219</v>
      </c>
      <c r="C6" s="214"/>
      <c r="D6" s="214"/>
      <c r="E6" s="214"/>
      <c r="F6" s="214"/>
      <c r="G6" s="216">
        <v>7.4999999999999997E-3</v>
      </c>
      <c r="H6" s="214"/>
      <c r="I6" s="214"/>
      <c r="J6" s="215"/>
      <c r="K6" s="214"/>
      <c r="L6" s="214"/>
      <c r="M6" s="214"/>
      <c r="N6" s="210"/>
      <c r="O6" s="907" t="s">
        <v>224</v>
      </c>
      <c r="P6" s="907"/>
      <c r="Q6" s="907"/>
      <c r="R6" s="907"/>
      <c r="S6" s="907"/>
      <c r="T6" s="908">
        <f>1+G10</f>
        <v>1.0095000000000001</v>
      </c>
      <c r="U6" s="908"/>
    </row>
    <row r="7" spans="1:21" ht="14.4" thickBot="1">
      <c r="A7" s="213"/>
      <c r="B7" s="214"/>
      <c r="C7" s="214"/>
      <c r="D7" s="214"/>
      <c r="E7" s="214"/>
      <c r="F7" s="214"/>
      <c r="G7" s="214"/>
      <c r="H7" s="214"/>
      <c r="I7" s="214"/>
      <c r="J7" s="215"/>
      <c r="K7" s="214"/>
      <c r="L7" s="214"/>
      <c r="M7" s="214"/>
      <c r="N7" s="210"/>
      <c r="O7" s="907" t="s">
        <v>225</v>
      </c>
      <c r="P7" s="907"/>
      <c r="Q7" s="907"/>
      <c r="R7" s="907"/>
      <c r="S7" s="907"/>
      <c r="T7" s="908">
        <f>1+G12</f>
        <v>1.0940000000000001</v>
      </c>
      <c r="U7" s="908"/>
    </row>
    <row r="8" spans="1:21" ht="18.75" customHeight="1" thickBot="1">
      <c r="A8" s="213" t="s">
        <v>227</v>
      </c>
      <c r="B8" s="214" t="s">
        <v>228</v>
      </c>
      <c r="C8" s="214"/>
      <c r="D8" s="214"/>
      <c r="E8" s="214"/>
      <c r="F8" s="214"/>
      <c r="G8" s="217">
        <v>1.2999999999999999E-2</v>
      </c>
      <c r="H8" s="214"/>
      <c r="I8" s="214"/>
      <c r="J8" s="215"/>
      <c r="K8" s="214"/>
      <c r="L8" s="214"/>
      <c r="M8" s="214"/>
      <c r="N8" s="210"/>
      <c r="O8" s="907" t="s">
        <v>226</v>
      </c>
      <c r="P8" s="907"/>
      <c r="Q8" s="907"/>
      <c r="R8" s="907"/>
      <c r="S8" s="907"/>
      <c r="T8" s="908">
        <f>1-C18-F18-I18</f>
        <v>0.90999999999999992</v>
      </c>
      <c r="U8" s="908"/>
    </row>
    <row r="9" spans="1:21" ht="14.4" thickBot="1">
      <c r="A9" s="213"/>
      <c r="B9" s="214"/>
      <c r="C9" s="214"/>
      <c r="D9" s="214"/>
      <c r="E9" s="214"/>
      <c r="F9" s="214"/>
      <c r="G9" s="214"/>
      <c r="H9" s="214"/>
      <c r="I9" s="214"/>
      <c r="J9" s="215"/>
      <c r="K9" s="214"/>
      <c r="L9" s="214"/>
      <c r="M9" s="214"/>
      <c r="N9" s="210"/>
    </row>
    <row r="10" spans="1:21" ht="14.4" thickBot="1">
      <c r="A10" s="213" t="s">
        <v>229</v>
      </c>
      <c r="B10" s="214" t="s">
        <v>230</v>
      </c>
      <c r="C10" s="214"/>
      <c r="D10" s="214"/>
      <c r="E10" s="214"/>
      <c r="F10" s="214"/>
      <c r="G10" s="217">
        <v>9.4999999999999998E-3</v>
      </c>
      <c r="H10" s="214"/>
      <c r="I10" s="214"/>
      <c r="J10" s="215"/>
      <c r="K10" s="214"/>
      <c r="L10" s="214"/>
      <c r="M10" s="214"/>
      <c r="N10" s="210"/>
    </row>
    <row r="11" spans="1:21" ht="17.25" customHeight="1" thickBot="1">
      <c r="A11" s="213"/>
      <c r="B11" s="214"/>
      <c r="C11" s="214"/>
      <c r="D11" s="214"/>
      <c r="E11" s="214"/>
      <c r="F11" s="214"/>
      <c r="G11" s="214"/>
      <c r="H11" s="214"/>
      <c r="I11" s="214"/>
      <c r="J11" s="215"/>
      <c r="K11" s="214"/>
      <c r="L11" s="214"/>
      <c r="M11" s="214"/>
      <c r="N11" s="210"/>
    </row>
    <row r="12" spans="1:21" ht="14.4" thickBot="1">
      <c r="A12" s="213" t="s">
        <v>231</v>
      </c>
      <c r="B12" s="214" t="s">
        <v>232</v>
      </c>
      <c r="C12" s="214"/>
      <c r="D12" s="214"/>
      <c r="E12" s="214"/>
      <c r="F12" s="214"/>
      <c r="G12" s="217">
        <v>9.4E-2</v>
      </c>
      <c r="H12" s="214"/>
      <c r="I12" s="214"/>
      <c r="J12" s="215"/>
      <c r="K12" s="214"/>
      <c r="L12" s="214"/>
      <c r="M12" s="214"/>
      <c r="N12" s="210"/>
    </row>
    <row r="13" spans="1:21" ht="14.4" thickBot="1">
      <c r="A13" s="213"/>
      <c r="B13" s="214"/>
      <c r="C13" s="214"/>
      <c r="D13" s="214"/>
      <c r="E13" s="214"/>
      <c r="F13" s="214"/>
      <c r="G13" s="214"/>
      <c r="H13" s="214"/>
      <c r="I13" s="214"/>
      <c r="J13" s="215"/>
      <c r="K13" s="214"/>
      <c r="L13" s="214"/>
      <c r="M13" s="214"/>
      <c r="N13" s="210"/>
    </row>
    <row r="14" spans="1:21" ht="14.4" thickBot="1">
      <c r="A14" s="213" t="s">
        <v>233</v>
      </c>
      <c r="B14" s="214" t="s">
        <v>234</v>
      </c>
      <c r="C14" s="214"/>
      <c r="D14" s="216">
        <v>1</v>
      </c>
      <c r="E14" s="214"/>
      <c r="F14" s="214"/>
      <c r="G14" s="214"/>
      <c r="H14" s="214"/>
      <c r="I14" s="214"/>
      <c r="J14" s="215"/>
      <c r="K14" s="214"/>
      <c r="L14" s="214"/>
      <c r="M14" s="214"/>
      <c r="N14" s="210"/>
    </row>
    <row r="15" spans="1:21">
      <c r="A15" s="213"/>
      <c r="B15" s="214"/>
      <c r="C15" s="214"/>
      <c r="D15" s="214"/>
      <c r="E15" s="214"/>
      <c r="F15" s="214"/>
      <c r="G15" s="214"/>
      <c r="H15" s="214"/>
      <c r="I15" s="214"/>
      <c r="J15" s="215"/>
      <c r="K15" s="214"/>
      <c r="L15" s="214"/>
      <c r="M15" s="214"/>
      <c r="N15" s="210"/>
    </row>
    <row r="16" spans="1:21" ht="17.25" customHeight="1">
      <c r="A16" s="213"/>
      <c r="B16" s="214"/>
      <c r="C16" s="214"/>
      <c r="D16" s="214"/>
      <c r="E16" s="214"/>
      <c r="F16" s="214"/>
      <c r="G16" s="214"/>
      <c r="H16" s="214"/>
      <c r="I16" s="214"/>
      <c r="J16" s="215"/>
      <c r="K16" s="214"/>
      <c r="L16" s="214"/>
      <c r="M16" s="214"/>
      <c r="N16" s="210"/>
    </row>
    <row r="17" spans="1:14" ht="16.5" customHeight="1" thickBot="1">
      <c r="A17" s="213"/>
      <c r="B17" s="214"/>
      <c r="C17" s="214"/>
      <c r="D17" s="214"/>
      <c r="E17" s="214"/>
      <c r="F17" s="214"/>
      <c r="G17" s="214"/>
      <c r="H17" s="214"/>
      <c r="I17" s="214"/>
      <c r="J17" s="215"/>
      <c r="K17" s="214"/>
      <c r="L17" s="214"/>
      <c r="M17" s="214"/>
      <c r="N17" s="210"/>
    </row>
    <row r="18" spans="1:14" ht="18.75" customHeight="1" thickBot="1">
      <c r="A18" s="218"/>
      <c r="B18" s="210" t="s">
        <v>130</v>
      </c>
      <c r="C18" s="219">
        <v>0.05</v>
      </c>
      <c r="D18" s="220"/>
      <c r="E18" s="220" t="s">
        <v>131</v>
      </c>
      <c r="F18" s="219">
        <v>0.01</v>
      </c>
      <c r="G18" s="220"/>
      <c r="H18" s="220" t="s">
        <v>132</v>
      </c>
      <c r="I18" s="219">
        <v>0.03</v>
      </c>
      <c r="J18" s="221"/>
      <c r="K18" s="210"/>
      <c r="L18" s="210"/>
      <c r="M18" s="210"/>
      <c r="N18" s="210"/>
    </row>
    <row r="19" spans="1:14">
      <c r="A19" s="218"/>
      <c r="B19" s="210"/>
      <c r="C19" s="210"/>
      <c r="D19" s="210"/>
      <c r="E19" s="210"/>
      <c r="F19" s="210"/>
      <c r="G19" s="210"/>
      <c r="H19" s="210"/>
      <c r="I19" s="210"/>
      <c r="J19" s="221"/>
      <c r="K19" s="210"/>
      <c r="L19" s="210"/>
      <c r="M19" s="210"/>
      <c r="N19" s="210"/>
    </row>
    <row r="20" spans="1:14">
      <c r="A20" s="218"/>
      <c r="B20" s="210"/>
      <c r="C20" s="210"/>
      <c r="D20" s="210"/>
      <c r="E20" s="210"/>
      <c r="F20" s="210"/>
      <c r="G20" s="210"/>
      <c r="H20" s="210"/>
      <c r="I20" s="210"/>
      <c r="J20" s="221"/>
      <c r="K20" s="210"/>
      <c r="L20" s="210"/>
      <c r="M20" s="210"/>
      <c r="N20" s="210"/>
    </row>
    <row r="21" spans="1:14">
      <c r="A21" s="218"/>
      <c r="B21" s="912" t="s">
        <v>133</v>
      </c>
      <c r="C21" s="912"/>
      <c r="D21" s="913">
        <f>(T5*T6*T7/T8)-1</f>
        <v>0.29432432362637373</v>
      </c>
      <c r="E21" s="913"/>
      <c r="F21" s="912" t="s">
        <v>235</v>
      </c>
      <c r="G21" s="912"/>
      <c r="H21" s="222" t="s">
        <v>236</v>
      </c>
      <c r="I21" s="222" t="s">
        <v>237</v>
      </c>
      <c r="J21" s="222" t="s">
        <v>238</v>
      </c>
      <c r="K21" s="210"/>
      <c r="L21" s="210"/>
      <c r="M21" s="210"/>
      <c r="N21" s="210"/>
    </row>
    <row r="22" spans="1:14">
      <c r="A22" s="218"/>
      <c r="B22" s="912"/>
      <c r="C22" s="912"/>
      <c r="D22" s="913"/>
      <c r="E22" s="913"/>
      <c r="F22" s="912"/>
      <c r="G22" s="912"/>
      <c r="H22" s="223">
        <v>0.20760000000000001</v>
      </c>
      <c r="I22" s="223">
        <v>0.24179999999999999</v>
      </c>
      <c r="J22" s="223">
        <v>0.26440000000000002</v>
      </c>
      <c r="K22" s="210"/>
      <c r="L22" s="210"/>
      <c r="M22" s="210"/>
      <c r="N22" s="210"/>
    </row>
    <row r="23" spans="1:14">
      <c r="A23" s="218"/>
      <c r="B23" s="210"/>
      <c r="C23" s="210"/>
      <c r="D23" s="210"/>
      <c r="E23" s="210"/>
      <c r="F23" s="210"/>
      <c r="G23" s="210"/>
      <c r="H23" s="210"/>
      <c r="I23" s="210"/>
      <c r="J23" s="221"/>
      <c r="K23" s="210"/>
      <c r="L23" s="210"/>
      <c r="M23" s="210"/>
      <c r="N23" s="210"/>
    </row>
    <row r="24" spans="1:14">
      <c r="A24" s="909" t="s">
        <v>465</v>
      </c>
      <c r="B24" s="910"/>
      <c r="C24" s="910"/>
      <c r="D24" s="910"/>
      <c r="E24" s="910"/>
      <c r="F24" s="910"/>
      <c r="G24" s="910"/>
      <c r="H24" s="910"/>
      <c r="I24" s="910"/>
      <c r="J24" s="911"/>
    </row>
  </sheetData>
  <mergeCells count="13">
    <mergeCell ref="A24:J24"/>
    <mergeCell ref="O7:S7"/>
    <mergeCell ref="T7:U7"/>
    <mergeCell ref="O8:S8"/>
    <mergeCell ref="T8:U8"/>
    <mergeCell ref="B21:C22"/>
    <mergeCell ref="D21:E22"/>
    <mergeCell ref="F21:G22"/>
    <mergeCell ref="A2:J2"/>
    <mergeCell ref="O5:S5"/>
    <mergeCell ref="T5:U5"/>
    <mergeCell ref="O6:S6"/>
    <mergeCell ref="T6:U6"/>
  </mergeCell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23</vt:i4>
      </vt:variant>
    </vt:vector>
  </HeadingPairs>
  <TitlesOfParts>
    <vt:vector size="39" baseType="lpstr">
      <vt:lpstr>PLANILHA ORÇAMENTARIA</vt:lpstr>
      <vt:lpstr>Cronograma</vt:lpstr>
      <vt:lpstr>Administração</vt:lpstr>
      <vt:lpstr>Coleta Rural </vt:lpstr>
      <vt:lpstr>1 Coleta Domiciliar</vt:lpstr>
      <vt:lpstr>2 varrição manual </vt:lpstr>
      <vt:lpstr>9 Conteiner</vt:lpstr>
      <vt:lpstr>Encargos</vt:lpstr>
      <vt:lpstr>BDI</vt:lpstr>
      <vt:lpstr>BANCO DE DADOS</vt:lpstr>
      <vt:lpstr>MÃO DE OBRA</vt:lpstr>
      <vt:lpstr>VEÍCULOS EQUIPAMENTOS</vt:lpstr>
      <vt:lpstr>FERRAMENTAS</vt:lpstr>
      <vt:lpstr>UNIFORMES E EPIS</vt:lpstr>
      <vt:lpstr>DPVAT</vt:lpstr>
      <vt:lpstr>EPI</vt:lpstr>
      <vt:lpstr>'1 Coleta Domiciliar'!Area_de_impressao</vt:lpstr>
      <vt:lpstr>'2 varrição manual '!Area_de_impressao</vt:lpstr>
      <vt:lpstr>'9 Conteiner'!Area_de_impressao</vt:lpstr>
      <vt:lpstr>Administração!Area_de_impressao</vt:lpstr>
      <vt:lpstr>'BANCO DE DADOS'!Area_de_impressao</vt:lpstr>
      <vt:lpstr>'Coleta Rural '!Area_de_impressao</vt:lpstr>
      <vt:lpstr>Cronograma!Area_de_impressao</vt:lpstr>
      <vt:lpstr>DPVAT!Area_de_impressao</vt:lpstr>
      <vt:lpstr>Encargos!Area_de_impressao</vt:lpstr>
      <vt:lpstr>EPI!Area_de_impressao</vt:lpstr>
      <vt:lpstr>FERRAMENTAS!Area_de_impressao</vt:lpstr>
      <vt:lpstr>'MÃO DE OBRA'!Area_de_impressao</vt:lpstr>
      <vt:lpstr>'PLANILHA ORÇAMENTARIA'!Area_de_impressao</vt:lpstr>
      <vt:lpstr>'UNIFORMES E EPIS'!Area_de_impressao</vt:lpstr>
      <vt:lpstr>'VEÍCULOS EQUIPAMENTOS'!Area_de_impressao</vt:lpstr>
      <vt:lpstr>'1 Coleta Domiciliar'!Titulos_de_impressao</vt:lpstr>
      <vt:lpstr>'2 varrição manual '!Titulos_de_impressao</vt:lpstr>
      <vt:lpstr>'9 Conteiner'!Titulos_de_impressao</vt:lpstr>
      <vt:lpstr>Administração!Titulos_de_impressao</vt:lpstr>
      <vt:lpstr>'Coleta Rural '!Titulos_de_impressao</vt:lpstr>
      <vt:lpstr>Cronograma!Titulos_de_impressao</vt:lpstr>
      <vt:lpstr>EPI!Titulos_de_impressao</vt:lpstr>
      <vt:lpstr>'MÃO DE OBRA'!Titulos_de_impressao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2018-06-22T21:11:07Z</dcterms:created>
  <dcterms:modified xsi:type="dcterms:W3CDTF">2020-10-23T13:54:14Z</dcterms:modified>
</cp:coreProperties>
</file>